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pil\Downloads\"/>
    </mc:Choice>
  </mc:AlternateContent>
  <xr:revisionPtr revIDLastSave="0" documentId="13_ncr:1_{6161D835-A4DB-489C-ACEB-3FB39F705022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Sheet2" sheetId="3" r:id="rId1"/>
    <sheet name="Track Stocks + OI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F10" i="1"/>
  <c r="N10" i="1"/>
  <c r="E10" i="1"/>
  <c r="D5" i="3"/>
  <c r="K10" i="1"/>
  <c r="F9" i="1"/>
  <c r="I9" i="1"/>
  <c r="N9" i="1"/>
  <c r="Q7" i="1"/>
  <c r="P6" i="1"/>
  <c r="K9" i="1"/>
  <c r="D8" i="3"/>
  <c r="Q4" i="1"/>
  <c r="P4" i="1"/>
  <c r="E9" i="1"/>
  <c r="Q9" i="1"/>
  <c r="J10" i="1"/>
  <c r="P9" i="1"/>
  <c r="O9" i="1"/>
  <c r="P2" i="1"/>
  <c r="J9" i="1"/>
  <c r="G9" i="1"/>
  <c r="L10" i="1"/>
  <c r="P7" i="1"/>
  <c r="I10" i="1"/>
  <c r="P10" i="1"/>
  <c r="M10" i="1"/>
  <c r="L9" i="1"/>
  <c r="O10" i="1"/>
  <c r="P3" i="1"/>
  <c r="H10" i="1"/>
  <c r="Q6" i="1"/>
  <c r="Q10" i="1"/>
  <c r="Q3" i="1"/>
  <c r="P5" i="1"/>
  <c r="Q5" i="1"/>
  <c r="B10" i="1"/>
  <c r="M9" i="1"/>
  <c r="D7" i="3"/>
  <c r="Q2" i="1"/>
  <c r="G10" i="1"/>
  <c r="D6" i="3"/>
  <c r="B9" i="1"/>
  <c r="P8" i="1"/>
  <c r="D9" i="3"/>
  <c r="Q8" i="1"/>
  <c r="H9" i="1"/>
  <c r="Z4" i="1" l="1"/>
  <c r="U9" i="1" s="1"/>
  <c r="Z9" i="1" s="1"/>
  <c r="AA4" i="1"/>
  <c r="C10" i="1"/>
  <c r="D10" i="1" s="1"/>
  <c r="C9" i="1"/>
  <c r="D9" i="1" s="1"/>
  <c r="X9" i="1" l="1"/>
  <c r="V9" i="1"/>
  <c r="W9" i="1"/>
  <c r="U10" i="1"/>
  <c r="Z10" i="1" s="1"/>
  <c r="AA9" i="1"/>
  <c r="O12" i="1"/>
  <c r="N12" i="1"/>
  <c r="G6" i="1"/>
  <c r="I6" i="1"/>
  <c r="N8" i="1"/>
  <c r="N6" i="1"/>
  <c r="K8" i="1"/>
  <c r="H3" i="1"/>
  <c r="F6" i="1"/>
  <c r="B2" i="1"/>
  <c r="J8" i="1"/>
  <c r="F7" i="1"/>
  <c r="H6" i="1"/>
  <c r="M4" i="1"/>
  <c r="I3" i="1"/>
  <c r="N3" i="1"/>
  <c r="G2" i="1"/>
  <c r="L4" i="1"/>
  <c r="B7" i="1"/>
  <c r="B4" i="1"/>
  <c r="O6" i="1"/>
  <c r="O3" i="1"/>
  <c r="K7" i="1"/>
  <c r="F4" i="1"/>
  <c r="K12" i="1"/>
  <c r="L2" i="1"/>
  <c r="M3" i="1"/>
  <c r="J7" i="1"/>
  <c r="O2" i="1"/>
  <c r="C17" i="1"/>
  <c r="O4" i="1"/>
  <c r="F3" i="1"/>
  <c r="N2" i="1"/>
  <c r="F2" i="1"/>
  <c r="O7" i="1"/>
  <c r="H8" i="1"/>
  <c r="C18" i="1"/>
  <c r="E4" i="1"/>
  <c r="E3" i="1"/>
  <c r="I8" i="1"/>
  <c r="H4" i="1"/>
  <c r="M2" i="1"/>
  <c r="B8" i="1"/>
  <c r="H7" i="1"/>
  <c r="K4" i="1"/>
  <c r="D18" i="1"/>
  <c r="K3" i="1"/>
  <c r="J3" i="1"/>
  <c r="L6" i="1"/>
  <c r="E8" i="1"/>
  <c r="B6" i="1"/>
  <c r="G7" i="1"/>
  <c r="G4" i="1"/>
  <c r="I2" i="1"/>
  <c r="O8" i="1"/>
  <c r="J6" i="1"/>
  <c r="M7" i="1"/>
  <c r="K6" i="1"/>
  <c r="E6" i="1"/>
  <c r="L7" i="1"/>
  <c r="B3" i="1"/>
  <c r="G3" i="1"/>
  <c r="G8" i="1"/>
  <c r="H2" i="1"/>
  <c r="M8" i="1"/>
  <c r="N4" i="1"/>
  <c r="F8" i="1"/>
  <c r="E2" i="1"/>
  <c r="J2" i="1"/>
  <c r="L3" i="1"/>
  <c r="I4" i="1"/>
  <c r="K2" i="1"/>
  <c r="E7" i="1"/>
  <c r="N7" i="1"/>
  <c r="J4" i="1"/>
  <c r="I7" i="1"/>
  <c r="L8" i="1"/>
  <c r="M6" i="1"/>
  <c r="D17" i="1"/>
  <c r="U11" i="1" l="1"/>
  <c r="Z11" i="1" s="1"/>
  <c r="W10" i="1"/>
  <c r="X10" i="1"/>
  <c r="V10" i="1"/>
  <c r="AA10" i="1"/>
  <c r="Y9" i="1"/>
  <c r="K19" i="1"/>
  <c r="C8" i="1"/>
  <c r="D8" i="1" s="1"/>
  <c r="C3" i="1"/>
  <c r="D3" i="1" s="1"/>
  <c r="C7" i="1"/>
  <c r="D7" i="1" s="1"/>
  <c r="C2" i="1"/>
  <c r="D2" i="1" s="1"/>
  <c r="C6" i="1"/>
  <c r="D6" i="1" s="1"/>
  <c r="C4" i="1"/>
  <c r="D4" i="1" s="1"/>
  <c r="Y10" i="1" l="1"/>
  <c r="X11" i="1"/>
  <c r="U12" i="1"/>
  <c r="Z12" i="1" s="1"/>
  <c r="AA11" i="1"/>
  <c r="V11" i="1"/>
  <c r="W11" i="1"/>
  <c r="K20" i="1"/>
  <c r="K21" i="1" s="1"/>
  <c r="K18" i="1"/>
  <c r="J18" i="1" s="1"/>
  <c r="L19" i="1"/>
  <c r="J19" i="1"/>
  <c r="Y11" i="1" l="1"/>
  <c r="V12" i="1"/>
  <c r="W12" i="1"/>
  <c r="X12" i="1"/>
  <c r="U13" i="1"/>
  <c r="Z13" i="1" s="1"/>
  <c r="AA12" i="1"/>
  <c r="K17" i="1"/>
  <c r="J17" i="1" s="1"/>
  <c r="L20" i="1"/>
  <c r="N19" i="1"/>
  <c r="K22" i="1"/>
  <c r="O5" i="1"/>
  <c r="I5" i="1"/>
  <c r="B5" i="1"/>
  <c r="N5" i="1"/>
  <c r="J20" i="1"/>
  <c r="J5" i="1"/>
  <c r="L18" i="1"/>
  <c r="F5" i="1"/>
  <c r="L21" i="1"/>
  <c r="G5" i="1"/>
  <c r="H5" i="1"/>
  <c r="J21" i="1"/>
  <c r="K5" i="1"/>
  <c r="E5" i="1"/>
  <c r="L5" i="1"/>
  <c r="M5" i="1"/>
  <c r="Y12" i="1" l="1"/>
  <c r="V13" i="1"/>
  <c r="X13" i="1"/>
  <c r="W13" i="1"/>
  <c r="AA13" i="1"/>
  <c r="U14" i="1"/>
  <c r="Z14" i="1" s="1"/>
  <c r="K16" i="1"/>
  <c r="K15" i="1" s="1"/>
  <c r="L17" i="1"/>
  <c r="N17" i="1" s="1"/>
  <c r="N20" i="1"/>
  <c r="C5" i="1"/>
  <c r="D5" i="1" s="1"/>
  <c r="N18" i="1"/>
  <c r="N21" i="1"/>
  <c r="K23" i="1"/>
  <c r="L22" i="1"/>
  <c r="J22" i="1"/>
  <c r="V14" i="1" l="1"/>
  <c r="X14" i="1"/>
  <c r="W14" i="1"/>
  <c r="AA14" i="1"/>
  <c r="Y13" i="1"/>
  <c r="L16" i="1"/>
  <c r="J16" i="1"/>
  <c r="N22" i="1"/>
  <c r="K24" i="1"/>
  <c r="K14" i="1"/>
  <c r="J15" i="1"/>
  <c r="J23" i="1"/>
  <c r="L15" i="1"/>
  <c r="L23" i="1"/>
  <c r="Y14" i="1" l="1"/>
  <c r="N16" i="1"/>
  <c r="N15" i="1"/>
  <c r="K25" i="1"/>
  <c r="N23" i="1"/>
  <c r="J14" i="1"/>
  <c r="J24" i="1"/>
  <c r="L14" i="1"/>
  <c r="L24" i="1"/>
  <c r="N24" i="1" l="1"/>
  <c r="N14" i="1"/>
  <c r="J25" i="1"/>
  <c r="L25" i="1"/>
  <c r="I18" i="1" l="1"/>
  <c r="I15" i="1"/>
  <c r="J27" i="1"/>
  <c r="H26" i="1" s="1"/>
  <c r="I21" i="1"/>
  <c r="I23" i="1"/>
  <c r="I14" i="1"/>
  <c r="I17" i="1"/>
  <c r="I24" i="1"/>
  <c r="I19" i="1"/>
  <c r="I22" i="1"/>
  <c r="I20" i="1"/>
  <c r="I16" i="1"/>
  <c r="M19" i="1"/>
  <c r="M17" i="1"/>
  <c r="M15" i="1"/>
  <c r="L27" i="1"/>
  <c r="L26" i="1" s="1"/>
  <c r="M20" i="1"/>
  <c r="M22" i="1"/>
  <c r="M23" i="1"/>
  <c r="M24" i="1"/>
  <c r="M18" i="1"/>
  <c r="M16" i="1"/>
  <c r="M14" i="1"/>
  <c r="M21" i="1"/>
  <c r="I25" i="1"/>
  <c r="N25" i="1"/>
  <c r="M25" i="1"/>
  <c r="K28" i="1" l="1"/>
</calcChain>
</file>

<file path=xl/sharedStrings.xml><?xml version="1.0" encoding="utf-8"?>
<sst xmlns="http://schemas.openxmlformats.org/spreadsheetml/2006/main" count="64" uniqueCount="53">
  <si>
    <t>NIFTY-I</t>
  </si>
  <si>
    <t>TCS</t>
  </si>
  <si>
    <t>NIFTY</t>
  </si>
  <si>
    <t>Symbol</t>
  </si>
  <si>
    <t>Last</t>
  </si>
  <si>
    <t>Change</t>
  </si>
  <si>
    <t>Change %</t>
  </si>
  <si>
    <t>Open</t>
  </si>
  <si>
    <t>High</t>
  </si>
  <si>
    <t>Low</t>
  </si>
  <si>
    <t>Close</t>
  </si>
  <si>
    <t>Trade Vol</t>
  </si>
  <si>
    <t>Total Vol</t>
  </si>
  <si>
    <t>Open Interest</t>
  </si>
  <si>
    <t>Bid</t>
  </si>
  <si>
    <t>Ask</t>
  </si>
  <si>
    <t>Bid Size</t>
  </si>
  <si>
    <t>Ask Size</t>
  </si>
  <si>
    <t>BANKNIFTY-I</t>
  </si>
  <si>
    <t>PE</t>
  </si>
  <si>
    <t>BANKNIFTY</t>
  </si>
  <si>
    <t>CE</t>
  </si>
  <si>
    <t>NIFTY_I</t>
  </si>
  <si>
    <t>PCR (OI) &gt;&gt;</t>
  </si>
  <si>
    <t>Total (OI) &gt;&gt;</t>
  </si>
  <si>
    <t>PCR per strike</t>
  </si>
  <si>
    <t>Live Open Interest Analysis</t>
  </si>
  <si>
    <t>Today &gt;&gt;</t>
  </si>
  <si>
    <t>Date</t>
  </si>
  <si>
    <t>Time</t>
  </si>
  <si>
    <t>PREV OI</t>
  </si>
  <si>
    <t>ATP</t>
  </si>
  <si>
    <t>INFY</t>
  </si>
  <si>
    <t>RELIANCE</t>
  </si>
  <si>
    <t>RELIANCE-I</t>
  </si>
  <si>
    <t>ZEEL</t>
  </si>
  <si>
    <t>Settings</t>
  </si>
  <si>
    <t>Strike Gaps</t>
  </si>
  <si>
    <t>Weekday (num)</t>
  </si>
  <si>
    <t>Weekday (day)</t>
  </si>
  <si>
    <t>Expiry 1</t>
  </si>
  <si>
    <t>Expiry 2</t>
  </si>
  <si>
    <t>Expiry 3</t>
  </si>
  <si>
    <t>Expiry 4</t>
  </si>
  <si>
    <t>Expiry 5</t>
  </si>
  <si>
    <t>Expiry 6</t>
  </si>
  <si>
    <t>Day</t>
  </si>
  <si>
    <t>Month</t>
  </si>
  <si>
    <t>Year</t>
  </si>
  <si>
    <t>Symbol format</t>
  </si>
  <si>
    <t>Expiry date (Manual)</t>
  </si>
  <si>
    <t>Custom - Cell Y15</t>
  </si>
  <si>
    <t>Update the Expiry in Cell Y15 when Expiry is not a Thursday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</si>
</sst>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sz val="20"/>
      <color theme="1"/>
      <name val="Arial Narrow"/>
      <family val="2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222222"/>
      <name val="Arial"/>
      <family val="2"/>
    </font>
    <font>
      <sz val="10"/>
      <color rgb="FF000000"/>
      <name val="Courier New"/>
      <family val="3"/>
    </font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10" fontId="4" fillId="0" borderId="0" xfId="1" applyNumberFormat="1" applyFont="1"/>
    <xf numFmtId="0" fontId="5" fillId="2" borderId="1" xfId="2" applyFont="1"/>
    <xf numFmtId="14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4" fillId="3" borderId="0" xfId="0" applyFont="1" applyFill="1"/>
    <xf numFmtId="2" fontId="4" fillId="0" borderId="0" xfId="0" applyNumberFormat="1" applyFont="1"/>
    <xf numFmtId="2" fontId="4" fillId="4" borderId="0" xfId="0" applyNumberFormat="1" applyFont="1" applyFill="1"/>
    <xf numFmtId="0" fontId="4" fillId="5" borderId="0" xfId="0" applyFont="1" applyFill="1"/>
    <xf numFmtId="0" fontId="6" fillId="0" borderId="0" xfId="0" applyFont="1"/>
    <xf numFmtId="14" fontId="7" fillId="0" borderId="0" xfId="0" applyNumberFormat="1" applyFont="1" applyAlignment="1">
      <alignment vertical="center"/>
    </xf>
    <xf numFmtId="0" fontId="8" fillId="0" borderId="0" xfId="0" applyFont="1"/>
    <xf numFmtId="10" fontId="8" fillId="0" borderId="0" xfId="1" applyNumberFormat="1" applyFont="1"/>
    <xf numFmtId="0" fontId="9" fillId="0" borderId="0" xfId="0" applyFont="1"/>
    <xf numFmtId="0" fontId="4" fillId="7" borderId="2" xfId="0" applyFont="1" applyFill="1" applyBorder="1"/>
    <xf numFmtId="0" fontId="0" fillId="7" borderId="2" xfId="0" applyFill="1" applyBorder="1"/>
    <xf numFmtId="14" fontId="4" fillId="7" borderId="2" xfId="0" applyNumberFormat="1" applyFont="1" applyFill="1" applyBorder="1"/>
    <xf numFmtId="0" fontId="10" fillId="7" borderId="2" xfId="0" applyFont="1" applyFill="1" applyBorder="1"/>
    <xf numFmtId="0" fontId="5" fillId="2" borderId="1" xfId="2" quotePrefix="1" applyNumberFormat="1" applyFont="1"/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10" fillId="7" borderId="2" xfId="0" applyNumberFormat="1" applyFont="1" applyFill="1" applyBorder="1"/>
    <xf numFmtId="0" fontId="12" fillId="7" borderId="2" xfId="0" applyFont="1" applyFill="1" applyBorder="1"/>
    <xf numFmtId="14" fontId="10" fillId="7" borderId="2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/>
    </xf>
    <xf numFmtId="14" fontId="13" fillId="7" borderId="6" xfId="0" applyNumberFormat="1" applyFont="1" applyFill="1" applyBorder="1" applyAlignment="1">
      <alignment horizontal="center"/>
    </xf>
    <xf numFmtId="14" fontId="13" fillId="7" borderId="7" xfId="0" applyNumberFormat="1" applyFont="1" applyFill="1" applyBorder="1" applyAlignment="1">
      <alignment horizontal="center"/>
    </xf>
  </cellXfs>
  <cellStyles count="5">
    <cellStyle name="Check Cell" xfId="2" builtinId="23"/>
    <cellStyle name="Comma 2" xfId="4" xr:uid="{00000000-0005-0000-0000-000001000000}"/>
    <cellStyle name="Normal" xfId="0" builtinId="0"/>
    <cellStyle name="Normal 2" xfId="3" xr:uid="{00000000-0005-0000-0000-000003000000}"/>
    <cellStyle name="Percent" xfId="1" builtinId="5"/>
  </cellStyles>
  <dxfs count="2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truedata.velocity">
      <tp t="s">
        <v>250</v>
        <stp/>
        <stp>RELIANCE-I</stp>
        <stp>BIDSIZE</stp>
        <tr r="N8" s="1"/>
      </tp>
      <tp t="s">
        <v>1427.75</v>
        <stp/>
        <stp>INFY</stp>
        <stp>LAST</stp>
        <tr r="D9" s="3"/>
        <tr r="B9" s="1"/>
      </tp>
      <tp t="s">
        <v>0</v>
        <stp/>
        <stp>NIFTY</stp>
        <stp>ASK</stp>
        <tr r="M2" s="1"/>
      </tp>
      <tp t="s">
        <v>0</v>
        <stp/>
        <stp>NIFTY</stp>
        <stp>BID</stp>
        <tr r="L2" s="1"/>
      </tp>
      <tp t="s">
        <v>263.7</v>
        <stp/>
        <stp>ZEEL</stp>
        <stp>LAST</stp>
        <tr r="B10" s="1"/>
      </tp>
      <tp t="s">
        <v>0</v>
        <stp/>
        <stp>BANKNIFTY</stp>
        <stp>TOTALVOL</stp>
        <tr r="J4" s="1"/>
      </tp>
      <tp t="s">
        <v>250</v>
        <stp/>
        <stp>RELIANCE-I</stp>
        <stp>ASKSIZE</stp>
        <tr r="O8" s="1"/>
      </tp>
      <tp t="s">
        <v>0</v>
        <stp/>
        <stp>BANKNIFTY</stp>
        <stp>BIDSIZE</stp>
        <tr r="N4" s="1"/>
      </tp>
      <tp t="s">
        <v>17304.9</v>
        <stp/>
        <stp>NIFTY-I</stp>
        <stp>HIGH</stp>
        <tr r="F3" s="1"/>
      </tp>
      <tp t="s">
        <v>0</v>
        <stp/>
        <stp>BANKNIFTY</stp>
        <stp>ASKSIZE</stp>
        <tr r="O4" s="1"/>
      </tp>
      <tp t="s">
        <v>0</v>
        <stp/>
        <stp>ZEEL</stp>
        <stp>PREVOI</stp>
        <tr r="P10" s="1"/>
      </tp>
      <tp t="s">
        <v>1432.25</v>
        <stp/>
        <stp>INFY</stp>
        <stp>HIGH</stp>
        <tr r="F9" s="1"/>
      </tp>
      <tp t="s">
        <v>250</v>
        <stp/>
        <stp>BANKNIFTY-I</stp>
        <stp>TRADEVOL</stp>
        <tr r="I5" s="1"/>
      </tp>
      <tp t="s">
        <v>264.5</v>
        <stp/>
        <stp>ZEEL</stp>
        <stp>HIGH</stp>
        <tr r="F10" s="1"/>
      </tp>
      <tp t="s">
        <v>2411.31</v>
        <stp/>
        <stp>RELIANCE-I</stp>
        <stp>AVERAGE</stp>
        <tr r="Q8" s="1"/>
      </tp>
      <tp t="s">
        <v>35700500</v>
        <stp/>
        <stp>RELIANCE-I</stp>
        <stp>OI</stp>
        <tr r="K8" s="1"/>
      </tp>
      <tp t="s">
        <v>17117.3</v>
        <stp/>
        <stp>NIFTY</stp>
        <stp>LOW</stp>
        <tr r="G2" s="1"/>
      </tp>
      <tp t="s">
        <v>0</v>
        <stp/>
        <stp>TCS</stp>
        <stp>OI</stp>
        <tr r="K6" s="1"/>
      </tp>
      <tp t="s">
        <v>17147.45</v>
        <stp/>
        <stp>NIFTY</stp>
        <stp>OPEN</stp>
        <tr r="E2" s="1"/>
      </tp>
      <tp t="s">
        <v>178</v>
        <stp/>
        <stp>RELIANCE</stp>
        <stp>TRADEVOL</stp>
        <tr r="I7" s="1"/>
      </tp>
      <tp t="s">
        <v>17291</v>
        <stp/>
        <stp>NIFTY-I</stp>
        <stp>LAST</stp>
        <tr r="B3" s="1"/>
        <tr r="D6" s="3"/>
      </tp>
      <tp t="s">
        <v>12601350</v>
        <stp/>
        <stp>NIFTY-I</stp>
        <stp>PREVOI</stp>
        <tr r="P3" s="1"/>
      </tp>
      <tp t="s">
        <v>0</v>
        <stp/>
        <stp>BANKNIFTY</stp>
        <stp>AVERAGE</stp>
        <tr r="Q4" s="1"/>
      </tp>
      <tp t="s">
        <v>16887.35</v>
        <stp/>
        <stp>NIFTY</stp>
        <stp>PREV</stp>
        <tr r="H2" s="1"/>
      </tp>
      <tp t="s">
        <v>3313885</v>
        <stp/>
        <stp>RELIANCE</stp>
        <stp>TOTALVOL</stp>
        <tr r="J7" s="1"/>
      </tp>
      <tp t="s">
        <v>1419.7</v>
        <stp/>
        <stp>INFY</stp>
        <stp>OPEN</stp>
        <tr r="E9" s="1"/>
      </tp>
      <tp t="s">
        <v>252.2</v>
        <stp/>
        <stp>ZEEL</stp>
        <stp>PREV</stp>
        <tr r="H10" s="1"/>
      </tp>
      <tp t="s">
        <v>150</v>
        <stp/>
        <stp>NIFTY-I</stp>
        <stp>BIDSIZE</stp>
        <tr r="N3" s="1"/>
      </tp>
      <tp t="s">
        <v>1393.75</v>
        <stp/>
        <stp>INFY</stp>
        <stp>PREV</stp>
        <tr r="H9" s="1"/>
      </tp>
      <tp t="s">
        <v>800</v>
        <stp/>
        <stp>NIFTY-I</stp>
        <stp>ASKSIZE</stp>
        <tr r="O3" s="1"/>
      </tp>
      <tp t="s">
        <v>257.45</v>
        <stp/>
        <stp>ZEEL</stp>
        <stp>OPEN</stp>
        <tr r="E10" s="1"/>
      </tp>
      <tp t="s">
        <v>38720.1</v>
        <stp/>
        <stp>BANKNIFTY-I</stp>
        <stp>LOW</stp>
        <tr r="G5" s="1"/>
      </tp>
      <tp t="s">
        <v>3897675</v>
        <stp/>
        <stp>BANKNIFTY-I</stp>
        <stp>TOTALVOL</stp>
        <tr r="J5" s="1"/>
      </tp>
      <tp t="s">
        <v>0</v>
        <stp/>
        <stp>INFY</stp>
        <stp>PREVOI</stp>
        <tr r="P9" s="1"/>
      </tp>
      <tp t="s">
        <v>3023</v>
        <stp/>
        <stp>TCS</stp>
        <stp>LOW</stp>
        <tr r="G6" s="1"/>
      </tp>
      <tp t="s">
        <v>17272</v>
        <stp/>
        <stp>NIFTY</stp>
        <stp>HIGH</stp>
        <tr r="F2" s="1"/>
      </tp>
      <tp t="s">
        <v>3084.15</v>
        <stp/>
        <stp>TCS</stp>
        <stp>ASK</stp>
        <tr r="M6" s="1"/>
      </tp>
      <tp t="s">
        <v>39249.9</v>
        <stp/>
        <stp>BANKNIFTY-I</stp>
        <stp>ASK</stp>
        <tr r="M5" s="1"/>
      </tp>
      <tp t="s">
        <v>39243.85</v>
        <stp/>
        <stp>BANKNIFTY-I</stp>
        <stp>BID</stp>
        <tr r="L5" s="1"/>
      </tp>
      <tp t="s">
        <v>17234.28</v>
        <stp/>
        <stp>NIFTY-I</stp>
        <stp>AVERAGE</stp>
        <tr r="Q3" s="1"/>
      </tp>
      <tp t="s">
        <v>2212075</v>
        <stp/>
        <stp>BANKNIFTY-I</stp>
        <stp>OI</stp>
        <tr r="K5" s="1"/>
      </tp>
      <tp t="s">
        <v>3084</v>
        <stp/>
        <stp>TCS</stp>
        <stp>BID</stp>
        <tr r="L6" s="1"/>
      </tp>
      <tp t="s">
        <v>17140</v>
        <stp/>
        <stp>NIFTY-I</stp>
        <stp>OPEN</stp>
        <tr r="E3" s="1"/>
      </tp>
      <tp t="s">
        <v>0</v>
        <stp/>
        <stp>RELIANCE</stp>
        <stp>OI</stp>
        <tr r="K7" s="1"/>
      </tp>
      <tp t="s">
        <v>17269.2</v>
        <stp/>
        <stp>NIFTY</stp>
        <stp>LAST</stp>
        <tr r="B2" s="1"/>
        <tr r="K12" s="1"/>
        <tr r="D5" s="3"/>
      </tp>
      <tp t="s">
        <v>16895.65</v>
        <stp/>
        <stp>NIFTY-I</stp>
        <stp>PREV</stp>
        <tr r="H3" s="1"/>
      </tp>
      <tp t="s">
        <v>0</v>
        <stp/>
        <stp>BANKNIFTY</stp>
        <stp>TRADEVOL</stp>
        <tr r="I4" s="1"/>
      </tp>
      <tp t="s">
        <v>255.25</v>
        <stp/>
        <stp>ZEEL</stp>
        <stp>LOW</stp>
        <tr r="G10" s="1"/>
      </tp>
      <tp t="s">
        <v>3093</v>
        <stp/>
        <stp>TCS</stp>
        <stp>HIGH</stp>
        <tr r="F6" s="1"/>
      </tp>
      <tp t="s">
        <v>0</v>
        <stp/>
        <stp>BANKNIFTY</stp>
        <stp>OI</stp>
        <tr r="K4" s="1"/>
      </tp>
      <tp t="s">
        <v>2405.01</v>
        <stp/>
        <stp>RELIANCE</stp>
        <stp>AVERAGE</stp>
        <tr r="Q7" s="1"/>
      </tp>
      <tp t="s">
        <v>1427.75</v>
        <stp/>
        <stp>INFY</stp>
        <stp>BID</stp>
        <tr r="L9" s="1"/>
      </tp>
      <tp t="s">
        <v>1428</v>
        <stp/>
        <stp>INFY</stp>
        <stp>ASK</stp>
        <tr r="M9" s="1"/>
      </tp>
      <tp t="s">
        <v>4</v>
        <stp/>
        <stp>RELIANCE</stp>
        <stp>BIDSIZE</stp>
        <tr r="N7" s="1"/>
      </tp>
      <tp t="s">
        <v>3084.15</v>
        <stp/>
        <stp>TCS</stp>
        <stp>LAST</stp>
        <tr r="B6" s="1"/>
      </tp>
      <tp t="s">
        <v>1414</v>
        <stp/>
        <stp>INFY</stp>
        <stp>LOW</stp>
        <tr r="G9" s="1"/>
      </tp>
      <tp t="s">
        <v>6064000</v>
        <stp/>
        <stp>RELIANCE-I</stp>
        <stp>TOTALVOL</stp>
        <tr r="J8" s="1"/>
      </tp>
      <tp t="s">
        <v>520</v>
        <stp/>
        <stp>RELIANCE</stp>
        <stp>ASKSIZE</stp>
        <tr r="O7" s="1"/>
      </tp>
      <tp t="s">
        <v>263.75</v>
        <stp/>
        <stp>ZEEL</stp>
        <stp>ASK</stp>
        <tr r="M10" s="1"/>
      </tp>
      <tp t="s">
        <v>263.7</v>
        <stp/>
        <stp>ZEEL</stp>
        <stp>BID</stp>
        <tr r="L10" s="1"/>
      </tp>
      <tp t="s">
        <v>0</v>
        <stp/>
        <stp>NIFTY</stp>
        <stp>PREVOI</stp>
        <tr r="P2" s="1"/>
      </tp>
      <tp t="s">
        <v>250</v>
        <stp/>
        <stp>RELIANCE-I</stp>
        <stp>TRADEVOL</stp>
        <tr r="I8" s="1"/>
      </tp>
      <tp t="s">
        <v>2984.95</v>
        <stp/>
        <stp>TCS</stp>
        <stp>PREV</stp>
        <tr r="H6" s="1"/>
      </tp>
      <tp t="s">
        <v>3029.95</v>
        <stp/>
        <stp>TCS</stp>
        <stp>OPEN</stp>
        <tr r="E6" s="1"/>
      </tp>
      <tp t="s">
        <v>0</v>
        <stp/>
        <stp>NIFTY</stp>
        <stp>AVERAGE</stp>
        <tr r="Q2" s="1"/>
      </tp>
      <tp t="s">
        <v>2418</v>
        <stp/>
        <stp>RELIANCE</stp>
        <stp>HIGH</stp>
        <tr r="F7" s="1"/>
      </tp>
      <tp t="s">
        <v>38596.9</v>
        <stp/>
        <stp>BANKNIFTY</stp>
        <stp>LOW</stp>
        <tr r="G4" s="1"/>
      </tp>
      <tp t="s">
        <v>39348.25</v>
        <stp/>
        <stp>BANKNIFTY-I</stp>
        <stp>HIGH</stp>
        <tr r="F5" s="1"/>
      </tp>
      <tp t="s">
        <v>72</v>
        <stp/>
        <stp>INFY</stp>
        <stp>TRADEVOL</stp>
        <tr r="I9" s="1"/>
      </tp>
      <tp t="s">
        <v>0</v>
        <stp/>
        <stp>NIFTY</stp>
        <stp>TOTALVOL</stp>
        <tr r="J2" s="1"/>
      </tp>
      <tp t="s">
        <v>0</v>
        <stp/>
        <stp>INFY</stp>
        <stp>OI</stp>
        <tr r="K9" s="1"/>
      </tp>
      <tp t="s">
        <v>18</v>
        <stp/>
        <stp>ZEEL</stp>
        <stp>TRADEVOL</stp>
        <tr r="I10" s="1"/>
      </tp>
      <tp t="s">
        <v>2398</v>
        <stp/>
        <stp>RELIANCE-I</stp>
        <stp>LOW</stp>
        <tr r="G8" s="1"/>
      </tp>
      <tp t="s">
        <v>50</v>
        <stp/>
        <stp>NIFTY-I</stp>
        <stp>TRADEVOL</stp>
        <tr r="I3" s="1"/>
      </tp>
      <tp t="s">
        <v>0</v>
        <stp/>
        <stp>NIFTY</stp>
        <stp>ASKSIZE</stp>
        <tr r="O2" s="1"/>
      </tp>
      <tp t="s">
        <v>2417.5</v>
        <stp/>
        <stp>RELIANCE</stp>
        <stp>LAST</stp>
        <tr r="B7" s="1"/>
      </tp>
      <tp t="s">
        <v>38029.65</v>
        <stp/>
        <stp>BANKNIFTY</stp>
        <stp>PREV</stp>
        <tr r="H4" s="1"/>
        <tr r="D17" s="1"/>
      </tp>
      <tp t="s">
        <v>2158900</v>
        <stp/>
        <stp>BANKNIFTY-I</stp>
        <stp>PREVOI</stp>
        <tr r="P5" s="1"/>
      </tp>
      <tp t="s">
        <v>2423.35</v>
        <stp/>
        <stp>RELIANCE-I</stp>
        <stp>BID</stp>
        <tr r="L8" s="1"/>
      </tp>
      <tp t="s">
        <v>2423.95</v>
        <stp/>
        <stp>RELIANCE-I</stp>
        <stp>ASK</stp>
        <tr r="M8" s="1"/>
      </tp>
      <tp t="s">
        <v>38700.4</v>
        <stp/>
        <stp>BANKNIFTY</stp>
        <stp>OPEN</stp>
        <tr r="E4" s="1"/>
      </tp>
      <tp t="s">
        <v>0</v>
        <stp/>
        <stp>NIFTY</stp>
        <stp>BIDSIZE</stp>
        <tr r="N2" s="1"/>
      </tp>
      <tp t="s">
        <v>39244.7</v>
        <stp/>
        <stp>BANKNIFTY-I</stp>
        <stp>LAST</stp>
        <tr r="D8" s="3"/>
        <tr r="B5" s="1"/>
      </tp>
      <tp t="s">
        <v>0</v>
        <stp/>
        <stp>BANKNIFTY</stp>
        <stp>BID</stp>
        <tr r="L4" s="1"/>
      </tp>
      <tp t="s">
        <v>0</v>
        <stp/>
        <stp>RELIANCE</stp>
        <stp>PREVOI</stp>
        <tr r="P7" s="1"/>
      </tp>
      <tp t="s">
        <v>0</v>
        <stp/>
        <stp>BANKNIFTY</stp>
        <stp>ASK</stp>
        <tr r="M4" s="1"/>
      </tp>
      <tp t="s">
        <v>25</v>
        <stp/>
        <stp>BANKNIFTY-I</stp>
        <stp>ASKSIZE</stp>
        <tr r="O5" s="1"/>
      </tp>
      <tp t="s">
        <v>15</v>
        <stp/>
        <stp>TCS</stp>
        <stp>ASKSIZE</stp>
        <tr r="O6" s="1"/>
      </tp>
      <tp t="s">
        <v>39177.5</v>
        <stp/>
        <stp>BANKNIFTY</stp>
        <stp>HIGH</stp>
        <tr r="F4" s="1"/>
      </tp>
      <tp t="s">
        <v>10</v>
        <stp/>
        <stp>TCS</stp>
        <stp>BIDSIZE</stp>
        <tr r="N6" s="1"/>
      </tp>
      <tp t="s">
        <v>25</v>
        <stp/>
        <stp>BANKNIFTY-I</stp>
        <stp>BIDSIZE</stp>
        <tr r="N5" s="1"/>
      </tp>
      <tp t="s">
        <v>9661200</v>
        <stp/>
        <stp>NIFTY-I</stp>
        <stp>TOTALVOL</stp>
        <tr r="J3" s="1"/>
      </tp>
      <tp t="s">
        <v>0</v>
        <stp/>
        <stp>ZEEL</stp>
        <stp>OI</stp>
        <tr r="K10" s="1"/>
      </tp>
      <tp t="s">
        <v>17125</v>
        <stp/>
        <stp>NIFTY-I</stp>
        <stp>LOW</stp>
        <tr r="G3" s="1"/>
      </tp>
      <tp t="s">
        <v>17290.7</v>
        <stp/>
        <stp>NIFTY-I</stp>
        <stp>BID</stp>
        <tr r="L3" s="1"/>
      </tp>
      <tp t="s">
        <v>0</v>
        <stp/>
        <stp>NIFTY</stp>
        <stp>TRADEVOL</stp>
        <tr r="I2" s="1"/>
      </tp>
      <tp t="s">
        <v>39153.68</v>
        <stp/>
        <stp>BANKNIFTY-I</stp>
        <stp>AVERAGE</stp>
        <tr r="Q5" s="1"/>
      </tp>
      <tp t="s">
        <v>36110250</v>
        <stp/>
        <stp>RELIANCE-I</stp>
        <stp>PREVOI</stp>
        <tr r="P8" s="1"/>
      </tp>
      <tp t="s">
        <v>5022539</v>
        <stp/>
        <stp>INFY</stp>
        <stp>TOTALVOL</stp>
        <tr r="J9" s="1"/>
      </tp>
      <tp t="s">
        <v>2397.8</v>
        <stp/>
        <stp>RELIANCE</stp>
        <stp>OPEN</stp>
        <tr r="E7" s="1"/>
      </tp>
      <tp t="s">
        <v>3066.77</v>
        <stp/>
        <stp>TCS</stp>
        <stp>AVERAGE</stp>
        <tr r="Q6" s="1"/>
      </tp>
      <tp t="s">
        <v>39077.5</v>
        <stp/>
        <stp>BANKNIFTY</stp>
        <stp>LAST</stp>
        <tr r="D7" s="3"/>
        <tr r="B4" s="1"/>
        <tr r="C17" s="1"/>
      </tp>
      <tp t="s">
        <v>10021050</v>
        <stp/>
        <stp>ZEEL</stp>
        <stp>TOTALVOL</stp>
        <tr r="J10" s="1"/>
      </tp>
      <tp t="s">
        <v>17293</v>
        <stp/>
        <stp>NIFTY-I</stp>
        <stp>ASK</stp>
        <tr r="M3" s="1"/>
      </tp>
      <tp t="s">
        <v>2369.5</v>
        <stp/>
        <stp>RELIANCE</stp>
        <stp>PREV</stp>
        <tr r="H7" s="1"/>
      </tp>
      <tp t="s">
        <v>12343650</v>
        <stp/>
        <stp>NIFTY-I</stp>
        <stp>OI</stp>
        <tr r="K3" s="1"/>
      </tp>
      <tp t="s">
        <v>38776</v>
        <stp/>
        <stp>BANKNIFTY-I</stp>
        <stp>OPEN</stp>
        <tr r="E5" s="1"/>
      </tp>
      <tp t="s">
        <v>0</v>
        <stp/>
        <stp>TCS</stp>
        <stp>PREVOI</stp>
        <tr r="P6" s="1"/>
      </tp>
      <tp t="s">
        <v>38159.15</v>
        <stp/>
        <stp>BANKNIFTY-I</stp>
        <stp>PREV</stp>
        <tr r="H5" s="1"/>
      </tp>
      <tp t="s">
        <v>2378.75</v>
        <stp/>
        <stp>RELIANCE-I</stp>
        <stp>PREV</stp>
        <tr r="H8" s="1"/>
      </tp>
      <tp t="s">
        <v>2417.45</v>
        <stp/>
        <stp>RELIANCE</stp>
        <stp>BID</stp>
        <tr r="L7" s="1"/>
      </tp>
      <tp t="s">
        <v>2417.5</v>
        <stp/>
        <stp>RELIANCE</stp>
        <stp>ASK</stp>
        <tr r="M7" s="1"/>
      </tp>
      <tp t="s">
        <v>0</v>
        <stp/>
        <stp>NIFTY</stp>
        <stp>OI</stp>
        <tr r="K2" s="1"/>
      </tp>
      <tp t="s">
        <v>2404.55</v>
        <stp/>
        <stp>RELIANCE-I</stp>
        <stp>OPEN</stp>
        <tr r="E8" s="1"/>
      </tp>
      <tp t="s">
        <v>50</v>
        <stp/>
        <stp>ZEEL</stp>
        <stp>ASKSIZE</stp>
        <tr r="O10" s="1"/>
      </tp>
      <tp t="s">
        <v>2953</v>
        <stp/>
        <stp>ZEEL</stp>
        <stp>BIDSIZE</stp>
        <tr r="N10" s="1"/>
      </tp>
      <tp t="s">
        <v>1425.89</v>
        <stp/>
        <stp>INFY</stp>
        <stp>AVERAGE</stp>
        <tr r="Q9" s="1"/>
      </tp>
      <tp t="s">
        <v>16895.65</v>
        <stp/>
        <stp>NIFTY_I</stp>
        <stp>PREV</stp>
        <tr r="D18" s="1"/>
      </tp>
      <tp t="s">
        <v>259.24</v>
        <stp/>
        <stp>ZEEL</stp>
        <stp>AVERAGE</stp>
        <tr r="Q10" s="1"/>
      </tp>
      <tp t="s">
        <v>110</v>
        <stp/>
        <stp>INFY</stp>
        <stp>BIDSIZE</stp>
        <tr r="N9" s="1"/>
      </tp>
      <tp t="s">
        <v>585</v>
        <stp/>
        <stp>INFY</stp>
        <stp>ASKSIZE</stp>
        <tr r="O9" s="1"/>
      </tp>
      <tp t="s">
        <v>2390.15</v>
        <stp/>
        <stp>RELIANCE</stp>
        <stp>LOW</stp>
        <tr r="G7" s="1"/>
      </tp>
      <tp t="s">
        <v>201</v>
        <stp/>
        <stp>TCS</stp>
        <stp>TRADEVOL</stp>
        <tr r="I6" s="1"/>
      </tp>
      <tp t="s">
        <v>0</v>
        <stp/>
        <stp>BANKNIFTY</stp>
        <stp>PREVOI</stp>
        <tr r="P4" s="1"/>
      </tp>
      <tp t="s">
        <v>2423.85</v>
        <stp/>
        <stp>RELIANCE-I</stp>
        <stp>LAST</stp>
        <tr r="B8" s="1"/>
      </tp>
      <tp t="s">
        <v>1572029</v>
        <stp/>
        <stp>TCS</stp>
        <stp>TOTALVOL</stp>
        <tr r="J6" s="1"/>
      </tp>
      <tp t="s">
        <v>102800</v>
        <stp/>
        <stp>NIFTY22100617600PE</stp>
        <stp>OI</stp>
        <tr r="L22" s="1"/>
      </tp>
      <tp t="s">
        <v>74400</v>
        <stp/>
        <stp>NIFTY22100617700PE</stp>
        <stp>OI</stp>
        <tr r="L23" s="1"/>
      </tp>
      <tp t="s">
        <v>774600</v>
        <stp/>
        <stp>NIFTY22100617400PE</stp>
        <stp>OI</stp>
        <tr r="L20" s="1"/>
      </tp>
      <tp t="s">
        <v>377600</v>
        <stp/>
        <stp>NIFTY22100617500PE</stp>
        <stp>OI</stp>
        <tr r="L21" s="1"/>
      </tp>
      <tp t="s">
        <v>10392000</v>
        <stp/>
        <stp>NIFTY22100617200PE</stp>
        <stp>OI</stp>
        <tr r="L18" s="1"/>
      </tp>
      <tp t="s">
        <v>2784700</v>
        <stp/>
        <stp>NIFTY22100617300PE</stp>
        <stp>OI</stp>
        <tr r="L19" s="1"/>
      </tp>
      <tp t="s">
        <v>8847000</v>
        <stp/>
        <stp>NIFTY22100617000PE</stp>
        <stp>OI</stp>
        <tr r="L16" s="1"/>
      </tp>
      <tp t="s">
        <v>7944050</v>
        <stp/>
        <stp>NIFTY22100617100PE</stp>
        <stp>OI</stp>
        <tr r="L17" s="1"/>
      </tp>
      <tp t="s">
        <v>76400</v>
        <stp/>
        <stp>NIFTY22100617800PE</stp>
        <stp>OI</stp>
        <tr r="L24" s="1"/>
      </tp>
      <tp t="s">
        <v>62250</v>
        <stp/>
        <stp>NIFTY22100617900PE</stp>
        <stp>OI</stp>
        <tr r="L25" s="1"/>
      </tp>
      <tp t="s">
        <v>5214400</v>
        <stp/>
        <stp>NIFTY22100616800PE</stp>
        <stp>OI</stp>
        <tr r="L14" s="1"/>
      </tp>
      <tp t="s">
        <v>4112550</v>
        <stp/>
        <stp>NIFTY22100616900PE</stp>
        <stp>OI</stp>
        <tr r="L15" s="1"/>
      </tp>
      <tp t="s">
        <v>586600</v>
        <stp/>
        <stp>NIFTY22100616800CE</stp>
        <stp>OI</stp>
        <tr r="J14" s="1"/>
      </tp>
      <tp t="s">
        <v>950850</v>
        <stp/>
        <stp>NIFTY22100616900CE</stp>
        <stp>OI</stp>
        <tr r="J15" s="1"/>
      </tp>
      <tp t="s">
        <v>4511000</v>
        <stp/>
        <stp>NIFTY22100617600CE</stp>
        <stp>OI</stp>
        <tr r="J22" s="1"/>
      </tp>
      <tp t="s">
        <v>3585100</v>
        <stp/>
        <stp>NIFTY22100617700CE</stp>
        <stp>OI</stp>
        <tr r="J23" s="1"/>
      </tp>
      <tp t="s">
        <v>5503700</v>
        <stp/>
        <stp>NIFTY22100617400CE</stp>
        <stp>OI</stp>
        <tr r="J20" s="1"/>
      </tp>
      <tp t="s">
        <v>8637450</v>
        <stp/>
        <stp>NIFTY22100617500CE</stp>
        <stp>OI</stp>
        <tr r="J21" s="1"/>
      </tp>
      <tp t="s">
        <v>5749900</v>
        <stp/>
        <stp>NIFTY22100617200CE</stp>
        <stp>OI</stp>
        <tr r="J18" s="1"/>
      </tp>
      <tp t="s">
        <v>5652650</v>
        <stp/>
        <stp>NIFTY22100617300CE</stp>
        <stp>OI</stp>
        <tr r="J19" s="1"/>
      </tp>
      <tp t="s">
        <v>2882500</v>
        <stp/>
        <stp>NIFTY22100617000CE</stp>
        <stp>OI</stp>
        <tr r="J16" s="1"/>
      </tp>
      <tp t="s">
        <v>2154250</v>
        <stp/>
        <stp>NIFTY22100617100CE</stp>
        <stp>OI</stp>
        <tr r="J17" s="1"/>
      </tp>
      <tp t="s">
        <v>3391400</v>
        <stp/>
        <stp>NIFTY22100617800CE</stp>
        <stp>OI</stp>
        <tr r="J24" s="1"/>
      </tp>
      <tp t="s">
        <v>1413450</v>
        <stp/>
        <stp>NIFTY22100617900CE</stp>
        <stp>OI</stp>
        <tr r="J25" s="1"/>
      </tp>
      <tp t="s">
        <v>2424.95</v>
        <stp/>
        <stp>RELIANCE-I</stp>
        <stp>HIGH</stp>
        <tr r="F8" s="1"/>
      </tp>
      <tp t="s">
        <v>17291</v>
        <stp/>
        <stp>NIFTY_I</stp>
        <stp>LAST</stp>
        <tr r="C18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NIFTY Call / Put (OI)</a:t>
            </a:r>
          </a:p>
        </c:rich>
      </c:tx>
      <c:layout>
        <c:manualLayout>
          <c:xMode val="edge"/>
          <c:yMode val="edge"/>
          <c:x val="0.36147895037653349"/>
          <c:y val="2.9661961546145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Calls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numRef>
              <c:f>'Track Stocks + OI'!$K$14:$K$25</c:f>
              <c:numCache>
                <c:formatCode>General</c:formatCode>
                <c:ptCount val="12"/>
                <c:pt idx="0">
                  <c:v>16800</c:v>
                </c:pt>
                <c:pt idx="1">
                  <c:v>16900</c:v>
                </c:pt>
                <c:pt idx="2">
                  <c:v>17000</c:v>
                </c:pt>
                <c:pt idx="3">
                  <c:v>17100</c:v>
                </c:pt>
                <c:pt idx="4">
                  <c:v>17200</c:v>
                </c:pt>
                <c:pt idx="5">
                  <c:v>17300</c:v>
                </c:pt>
                <c:pt idx="6">
                  <c:v>17400</c:v>
                </c:pt>
                <c:pt idx="7">
                  <c:v>17500</c:v>
                </c:pt>
                <c:pt idx="8">
                  <c:v>17600</c:v>
                </c:pt>
                <c:pt idx="9">
                  <c:v>17700</c:v>
                </c:pt>
                <c:pt idx="10">
                  <c:v>17800</c:v>
                </c:pt>
                <c:pt idx="11">
                  <c:v>17900</c:v>
                </c:pt>
              </c:numCache>
            </c:numRef>
          </c:cat>
          <c:val>
            <c:numRef>
              <c:f>'Track Stocks + OI'!$J$14:$J$25</c:f>
              <c:numCache>
                <c:formatCode>General</c:formatCode>
                <c:ptCount val="12"/>
                <c:pt idx="0">
                  <c:v>586600</c:v>
                </c:pt>
                <c:pt idx="1">
                  <c:v>950850</c:v>
                </c:pt>
                <c:pt idx="2">
                  <c:v>2882500</c:v>
                </c:pt>
                <c:pt idx="3">
                  <c:v>2154250</c:v>
                </c:pt>
                <c:pt idx="4">
                  <c:v>5749900</c:v>
                </c:pt>
                <c:pt idx="5">
                  <c:v>5652650</c:v>
                </c:pt>
                <c:pt idx="6">
                  <c:v>5503700</c:v>
                </c:pt>
                <c:pt idx="7">
                  <c:v>8637450</c:v>
                </c:pt>
                <c:pt idx="8">
                  <c:v>4511000</c:v>
                </c:pt>
                <c:pt idx="9">
                  <c:v>3585100</c:v>
                </c:pt>
                <c:pt idx="10">
                  <c:v>3391400</c:v>
                </c:pt>
                <c:pt idx="11">
                  <c:v>1413450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2-4672-A67A-F65D7576188D}"/>
            </c:ext>
          </c:extLst>
        </c:ser>
        <c:ser>
          <c:idx val="2"/>
          <c:order val="1"/>
          <c:tx>
            <c:v>Puts</c:v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numRef>
              <c:f>'Track Stocks + OI'!$K$14:$K$25</c:f>
              <c:numCache>
                <c:formatCode>General</c:formatCode>
                <c:ptCount val="12"/>
                <c:pt idx="0">
                  <c:v>16800</c:v>
                </c:pt>
                <c:pt idx="1">
                  <c:v>16900</c:v>
                </c:pt>
                <c:pt idx="2">
                  <c:v>17000</c:v>
                </c:pt>
                <c:pt idx="3">
                  <c:v>17100</c:v>
                </c:pt>
                <c:pt idx="4">
                  <c:v>17200</c:v>
                </c:pt>
                <c:pt idx="5">
                  <c:v>17300</c:v>
                </c:pt>
                <c:pt idx="6">
                  <c:v>17400</c:v>
                </c:pt>
                <c:pt idx="7">
                  <c:v>17500</c:v>
                </c:pt>
                <c:pt idx="8">
                  <c:v>17600</c:v>
                </c:pt>
                <c:pt idx="9">
                  <c:v>17700</c:v>
                </c:pt>
                <c:pt idx="10">
                  <c:v>17800</c:v>
                </c:pt>
                <c:pt idx="11">
                  <c:v>17900</c:v>
                </c:pt>
              </c:numCache>
            </c:numRef>
          </c:cat>
          <c:val>
            <c:numRef>
              <c:f>'Track Stocks + OI'!$L$14:$L$25</c:f>
              <c:numCache>
                <c:formatCode>General</c:formatCode>
                <c:ptCount val="12"/>
                <c:pt idx="0">
                  <c:v>5214400</c:v>
                </c:pt>
                <c:pt idx="1">
                  <c:v>4112550</c:v>
                </c:pt>
                <c:pt idx="2">
                  <c:v>8847000</c:v>
                </c:pt>
                <c:pt idx="3">
                  <c:v>7944050</c:v>
                </c:pt>
                <c:pt idx="4">
                  <c:v>10392000</c:v>
                </c:pt>
                <c:pt idx="5">
                  <c:v>2784700</c:v>
                </c:pt>
                <c:pt idx="6">
                  <c:v>774600</c:v>
                </c:pt>
                <c:pt idx="7">
                  <c:v>377600</c:v>
                </c:pt>
                <c:pt idx="8">
                  <c:v>102800</c:v>
                </c:pt>
                <c:pt idx="9">
                  <c:v>74400</c:v>
                </c:pt>
                <c:pt idx="10">
                  <c:v>76400</c:v>
                </c:pt>
                <c:pt idx="11">
                  <c:v>62250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2-4672-A67A-F65D75761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5055544"/>
        <c:axId val="203706600"/>
        <c:axId val="0"/>
      </c:bar3DChart>
      <c:catAx>
        <c:axId val="14505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06600"/>
        <c:crosses val="autoZero"/>
        <c:auto val="1"/>
        <c:lblAlgn val="ctr"/>
        <c:lblOffset val="100"/>
        <c:noMultiLvlLbl val="0"/>
      </c:catAx>
      <c:valAx>
        <c:axId val="20370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5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114300</xdr:rowOff>
    </xdr:from>
    <xdr:to>
      <xdr:col>7</xdr:col>
      <xdr:colOff>628651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" totalsRowShown="0" headerRowDxfId="18" dataDxfId="17">
  <autoFilter ref="A1:Q10" xr:uid="{00000000-0009-0000-0100-000001000000}"/>
  <sortState xmlns:xlrd2="http://schemas.microsoft.com/office/spreadsheetml/2017/richdata2" ref="A2:O8">
    <sortCondition descending="1" ref="D1:D8"/>
  </sortState>
  <tableColumns count="17">
    <tableColumn id="1" xr3:uid="{00000000-0010-0000-0000-000001000000}" name="Symbol" dataDxfId="16"/>
    <tableColumn id="2" xr3:uid="{00000000-0010-0000-0000-000002000000}" name="Last" dataDxfId="15">
      <calculatedColumnFormula>VALUE(RTD("truedata.velocity",,A2,"LAST"))</calculatedColumnFormula>
    </tableColumn>
    <tableColumn id="3" xr3:uid="{00000000-0010-0000-0000-000003000000}" name="Change" dataDxfId="14">
      <calculatedColumnFormula>B2-H2</calculatedColumnFormula>
    </tableColumn>
    <tableColumn id="4" xr3:uid="{00000000-0010-0000-0000-000004000000}" name="Change %" dataDxfId="13" dataCellStyle="Percent">
      <calculatedColumnFormula>C2/H2</calculatedColumnFormula>
    </tableColumn>
    <tableColumn id="5" xr3:uid="{00000000-0010-0000-0000-000005000000}" name="Open" dataDxfId="12">
      <calculatedColumnFormula>VALUE(RTD("truedata.velocity",,A2,"OPEN"))</calculatedColumnFormula>
    </tableColumn>
    <tableColumn id="6" xr3:uid="{00000000-0010-0000-0000-000006000000}" name="High" dataDxfId="11">
      <calculatedColumnFormula>VALUE(RTD("truedata.velocity",,A2,"HIGH"))</calculatedColumnFormula>
    </tableColumn>
    <tableColumn id="7" xr3:uid="{00000000-0010-0000-0000-000007000000}" name="Low" dataDxfId="10">
      <calculatedColumnFormula>VALUE(RTD("truedata.velocity",,A2,"LOW"))</calculatedColumnFormula>
    </tableColumn>
    <tableColumn id="8" xr3:uid="{00000000-0010-0000-0000-000008000000}" name="Close" dataDxfId="9">
      <calculatedColumnFormula>VALUE(RTD("truedata.velocity",,A2,"PREV"))</calculatedColumnFormula>
    </tableColumn>
    <tableColumn id="9" xr3:uid="{00000000-0010-0000-0000-000009000000}" name="Trade Vol" dataDxfId="8">
      <calculatedColumnFormula>VALUE(RTD("truedata.velocity",,A2,"TRADEVOL"))</calculatedColumnFormula>
    </tableColumn>
    <tableColumn id="10" xr3:uid="{00000000-0010-0000-0000-00000A000000}" name="Total Vol" dataDxfId="7">
      <calculatedColumnFormula>VALUE(RTD("truedata.velocity",,A2,"TOTALVOL"))</calculatedColumnFormula>
    </tableColumn>
    <tableColumn id="11" xr3:uid="{00000000-0010-0000-0000-00000B000000}" name="Open Interest" dataDxfId="6">
      <calculatedColumnFormula>VALUE(RTD("truedata.velocity",,A2,"OI"))</calculatedColumnFormula>
    </tableColumn>
    <tableColumn id="12" xr3:uid="{00000000-0010-0000-0000-00000C000000}" name="Bid" dataDxfId="5">
      <calculatedColumnFormula>VALUE(RTD("truedata.velocity",,A2,"BID"))</calculatedColumnFormula>
    </tableColumn>
    <tableColumn id="13" xr3:uid="{00000000-0010-0000-0000-00000D000000}" name="Ask" dataDxfId="4">
      <calculatedColumnFormula>VALUE(RTD("truedata.velocity",,A2,"ASK"))</calculatedColumnFormula>
    </tableColumn>
    <tableColumn id="14" xr3:uid="{00000000-0010-0000-0000-00000E000000}" name="Bid Size" dataDxfId="3">
      <calculatedColumnFormula>VALUE(RTD("truedata.velocity",,A2,"BIDSIZE"))</calculatedColumnFormula>
    </tableColumn>
    <tableColumn id="15" xr3:uid="{00000000-0010-0000-0000-00000F000000}" name="Ask Size" dataDxfId="2">
      <calculatedColumnFormula>VALUE(RTD("truedata.velocity",,A2,"ASKSIZE"))</calculatedColumnFormula>
    </tableColumn>
    <tableColumn id="16" xr3:uid="{00000000-0010-0000-0000-000010000000}" name="PREV OI" dataDxfId="1">
      <calculatedColumnFormula>VALUE(RTD("truedata.velocity",,A2,"PREVOI"))</calculatedColumnFormula>
    </tableColumn>
    <tableColumn id="17" xr3:uid="{00000000-0010-0000-0000-000011000000}" name="ATP" dataDxfId="0">
      <calculatedColumnFormula>VALUE(RTD("truedata.velocity",,A2,"AVERAGE"))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D9"/>
  <sheetViews>
    <sheetView workbookViewId="0">
      <selection activeCell="D8" sqref="D8"/>
    </sheetView>
  </sheetViews>
  <sheetFormatPr defaultRowHeight="14.4" x14ac:dyDescent="0.3"/>
  <cols>
    <col min="3" max="3" width="12.88671875" customWidth="1"/>
  </cols>
  <sheetData>
    <row r="5" spans="3:4" x14ac:dyDescent="0.3">
      <c r="C5" t="s">
        <v>2</v>
      </c>
      <c r="D5">
        <f>VALUE(RTD("truedata.velocity",,C5,"LAST"))</f>
        <v>17269.2</v>
      </c>
    </row>
    <row r="6" spans="3:4" x14ac:dyDescent="0.3">
      <c r="C6" t="s">
        <v>0</v>
      </c>
      <c r="D6">
        <f>VALUE(RTD("truedata.velocity",,C6,"LAST"))</f>
        <v>17291</v>
      </c>
    </row>
    <row r="7" spans="3:4" x14ac:dyDescent="0.3">
      <c r="C7" t="s">
        <v>20</v>
      </c>
      <c r="D7">
        <f>VALUE(RTD("truedata.velocity",,C7,"LAST"))</f>
        <v>39077.5</v>
      </c>
    </row>
    <row r="8" spans="3:4" x14ac:dyDescent="0.3">
      <c r="C8" t="s">
        <v>18</v>
      </c>
      <c r="D8">
        <f>VALUE(RTD("truedata.velocity",,C8,"LAST"))</f>
        <v>39244.699999999997</v>
      </c>
    </row>
    <row r="9" spans="3:4" x14ac:dyDescent="0.3">
      <c r="C9" t="s">
        <v>32</v>
      </c>
      <c r="D9">
        <f>VALUE(RTD("truedata.velocity",,C9,"LAST"))</f>
        <v>1427.75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8"/>
  <sheetViews>
    <sheetView tabSelected="1" zoomScale="85" zoomScaleNormal="85" workbookViewId="0">
      <selection activeCell="U21" sqref="U21"/>
    </sheetView>
  </sheetViews>
  <sheetFormatPr defaultColWidth="9.109375" defaultRowHeight="15.6" x14ac:dyDescent="0.3"/>
  <cols>
    <col min="1" max="1" width="27.44140625" style="1" customWidth="1"/>
    <col min="2" max="2" width="16.6640625" style="1" bestFit="1" customWidth="1"/>
    <col min="3" max="3" width="9.6640625" style="1" customWidth="1"/>
    <col min="4" max="4" width="11.6640625" style="1" customWidth="1"/>
    <col min="5" max="6" width="9.33203125" style="1" bestFit="1" customWidth="1"/>
    <col min="7" max="7" width="11.33203125" style="1" customWidth="1"/>
    <col min="8" max="8" width="10.6640625" style="1" customWidth="1"/>
    <col min="9" max="9" width="12.33203125" style="1" customWidth="1"/>
    <col min="10" max="10" width="14.88671875" style="1" customWidth="1"/>
    <col min="11" max="11" width="13.109375" style="1" customWidth="1"/>
    <col min="12" max="12" width="12.44140625" style="1" customWidth="1"/>
    <col min="13" max="13" width="11.33203125" style="1" bestFit="1" customWidth="1"/>
    <col min="14" max="14" width="13.6640625" style="1" customWidth="1"/>
    <col min="15" max="15" width="12.5546875" style="1" bestFit="1" customWidth="1"/>
    <col min="16" max="16" width="11.33203125" style="1" customWidth="1"/>
    <col min="17" max="18" width="9.109375" style="1"/>
    <col min="19" max="19" width="10.33203125" style="1" bestFit="1" customWidth="1"/>
    <col min="20" max="20" width="27.21875" style="1" bestFit="1" customWidth="1"/>
    <col min="21" max="21" width="12.6640625" style="1" customWidth="1"/>
    <col min="22" max="24" width="14.5546875" style="1" customWidth="1"/>
    <col min="25" max="25" width="23.5546875" style="1" customWidth="1"/>
    <col min="26" max="26" width="15.5546875" style="1" customWidth="1"/>
    <col min="27" max="27" width="13.6640625" style="1" bestFit="1" customWidth="1"/>
    <col min="28" max="16384" width="9.109375" style="1"/>
  </cols>
  <sheetData>
    <row r="1" spans="1:27" x14ac:dyDescent="0.3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3" t="s">
        <v>30</v>
      </c>
      <c r="Q1" s="13" t="s">
        <v>31</v>
      </c>
      <c r="R1" s="13"/>
      <c r="S1" s="19" t="s">
        <v>36</v>
      </c>
      <c r="T1" s="16" t="s">
        <v>2</v>
      </c>
      <c r="U1" s="16">
        <v>50</v>
      </c>
      <c r="V1" s="27" t="s">
        <v>37</v>
      </c>
      <c r="W1" s="21"/>
      <c r="X1" s="21"/>
      <c r="Y1" s="21"/>
      <c r="Z1" s="16"/>
      <c r="AA1" s="16"/>
    </row>
    <row r="2" spans="1:27" x14ac:dyDescent="0.3">
      <c r="A2" s="1" t="s">
        <v>2</v>
      </c>
      <c r="B2" s="1">
        <f>VALUE(RTD("truedata.velocity",,A2,"LAST"))</f>
        <v>17269.2</v>
      </c>
      <c r="C2" s="1">
        <f t="shared" ref="C2:C8" si="0">B2-H2</f>
        <v>381.85000000000218</v>
      </c>
      <c r="D2" s="2">
        <f t="shared" ref="D2:D8" si="1">C2/H2</f>
        <v>2.2611599806956227E-2</v>
      </c>
      <c r="E2" s="1">
        <f>VALUE(RTD("truedata.velocity",,A2,"OPEN"))</f>
        <v>17147.45</v>
      </c>
      <c r="F2" s="1">
        <f>VALUE(RTD("truedata.velocity",,A2,"HIGH"))</f>
        <v>17272</v>
      </c>
      <c r="G2" s="1">
        <f>VALUE(RTD("truedata.velocity",,A2,"LOW"))</f>
        <v>17117.3</v>
      </c>
      <c r="H2" s="1">
        <f>VALUE(RTD("truedata.velocity",,A2,"PREV"))</f>
        <v>16887.349999999999</v>
      </c>
      <c r="I2" s="1">
        <f>VALUE(RTD("truedata.velocity",,A2,"TRADEVOL"))</f>
        <v>0</v>
      </c>
      <c r="J2" s="1">
        <f>VALUE(RTD("truedata.velocity",,A2,"TOTALVOL"))</f>
        <v>0</v>
      </c>
      <c r="K2" s="1">
        <f>VALUE(RTD("truedata.velocity",,A2,"OI"))</f>
        <v>0</v>
      </c>
      <c r="L2" s="1">
        <f>VALUE(RTD("truedata.velocity",,A2,"BID"))</f>
        <v>0</v>
      </c>
      <c r="M2" s="1">
        <f>VALUE(RTD("truedata.velocity",,A2,"ASK"))</f>
        <v>0</v>
      </c>
      <c r="N2" s="1">
        <f>VALUE(RTD("truedata.velocity",,A2,"BIDSIZE"))</f>
        <v>0</v>
      </c>
      <c r="O2" s="1">
        <f>VALUE(RTD("truedata.velocity",,A2,"ASKSIZE"))</f>
        <v>0</v>
      </c>
      <c r="P2" s="13">
        <f>VALUE(RTD("truedata.velocity",,A2,"PREVOI"))</f>
        <v>0</v>
      </c>
      <c r="Q2" s="13">
        <f>VALUE(RTD("truedata.velocity",,A2,"AVERAGE"))</f>
        <v>0</v>
      </c>
      <c r="R2" s="13"/>
      <c r="S2" s="16"/>
      <c r="T2" s="16" t="s">
        <v>20</v>
      </c>
      <c r="U2" s="16">
        <v>100</v>
      </c>
      <c r="V2" s="28"/>
      <c r="W2" s="22"/>
      <c r="X2" s="22"/>
      <c r="Y2" s="22"/>
      <c r="Z2" s="16"/>
      <c r="AA2" s="16"/>
    </row>
    <row r="3" spans="1:27" x14ac:dyDescent="0.3">
      <c r="A3" s="1" t="s">
        <v>0</v>
      </c>
      <c r="B3" s="1">
        <f>VALUE(RTD("truedata.velocity",,A3,"LAST"))</f>
        <v>17291</v>
      </c>
      <c r="C3" s="1">
        <f t="shared" si="0"/>
        <v>395.34999999999854</v>
      </c>
      <c r="D3" s="2">
        <f t="shared" si="1"/>
        <v>2.3399514076108258E-2</v>
      </c>
      <c r="E3" s="1">
        <f>VALUE(RTD("truedata.velocity",,A3,"OPEN"))</f>
        <v>17140</v>
      </c>
      <c r="F3" s="1">
        <f>VALUE(RTD("truedata.velocity",,A3,"HIGH"))</f>
        <v>17304.900000000001</v>
      </c>
      <c r="G3" s="1">
        <f>VALUE(RTD("truedata.velocity",,A3,"LOW"))</f>
        <v>17125</v>
      </c>
      <c r="H3" s="1">
        <f>VALUE(RTD("truedata.velocity",,A3,"PREV"))</f>
        <v>16895.650000000001</v>
      </c>
      <c r="I3" s="1">
        <f>VALUE(RTD("truedata.velocity",,A3,"TRADEVOL"))</f>
        <v>50</v>
      </c>
      <c r="J3" s="1">
        <f>VALUE(RTD("truedata.velocity",,A3,"TOTALVOL"))</f>
        <v>9661200</v>
      </c>
      <c r="K3" s="1">
        <f>VALUE(RTD("truedata.velocity",,A3,"OI"))</f>
        <v>12343650</v>
      </c>
      <c r="L3" s="1">
        <f>VALUE(RTD("truedata.velocity",,A3,"BID"))</f>
        <v>17290.7</v>
      </c>
      <c r="M3" s="1">
        <f>VALUE(RTD("truedata.velocity",,A3,"ASK"))</f>
        <v>17293</v>
      </c>
      <c r="N3" s="1">
        <f>VALUE(RTD("truedata.velocity",,A3,"BIDSIZE"))</f>
        <v>150</v>
      </c>
      <c r="O3" s="1">
        <f>VALUE(RTD("truedata.velocity",,A3,"ASKSIZE"))</f>
        <v>800</v>
      </c>
      <c r="P3" s="13">
        <f>VALUE(RTD("truedata.velocity",,A3,"PREVOI"))</f>
        <v>12601350</v>
      </c>
      <c r="Q3" s="13">
        <f>VALUE(RTD("truedata.velocity",,A3,"AVERAGE"))</f>
        <v>17234.28</v>
      </c>
      <c r="R3" s="13"/>
      <c r="S3" s="16"/>
      <c r="T3" s="16"/>
      <c r="U3" s="16"/>
      <c r="V3" s="16"/>
      <c r="W3" s="16"/>
      <c r="X3" s="16"/>
      <c r="Y3" s="16"/>
      <c r="Z3" s="24" t="s">
        <v>38</v>
      </c>
      <c r="AA3" s="24" t="s">
        <v>39</v>
      </c>
    </row>
    <row r="4" spans="1:27" x14ac:dyDescent="0.3">
      <c r="A4" s="11" t="s">
        <v>20</v>
      </c>
      <c r="B4" s="1">
        <f>VALUE(RTD("truedata.velocity",,A4,"LAST"))</f>
        <v>39077.5</v>
      </c>
      <c r="C4" s="1">
        <f t="shared" si="0"/>
        <v>1047.8499999999985</v>
      </c>
      <c r="D4" s="2">
        <f t="shared" si="1"/>
        <v>2.7553501018284379E-2</v>
      </c>
      <c r="E4" s="1">
        <f>VALUE(RTD("truedata.velocity",,A4,"OPEN"))</f>
        <v>38700.400000000001</v>
      </c>
      <c r="F4" s="1">
        <f>VALUE(RTD("truedata.velocity",,A4,"HIGH"))</f>
        <v>39177.5</v>
      </c>
      <c r="G4" s="1">
        <f>VALUE(RTD("truedata.velocity",,A4,"LOW"))</f>
        <v>38596.9</v>
      </c>
      <c r="H4" s="1">
        <f>VALUE(RTD("truedata.velocity",,A4,"PREV"))</f>
        <v>38029.65</v>
      </c>
      <c r="I4" s="1">
        <f>VALUE(RTD("truedata.velocity",,A4,"TRADEVOL"))</f>
        <v>0</v>
      </c>
      <c r="J4" s="1">
        <f>VALUE(RTD("truedata.velocity",,A4,"TOTALVOL"))</f>
        <v>0</v>
      </c>
      <c r="K4" s="1">
        <f>VALUE(RTD("truedata.velocity",,A4,"OI"))</f>
        <v>0</v>
      </c>
      <c r="L4" s="1">
        <f>VALUE(RTD("truedata.velocity",,A4,"BID"))</f>
        <v>0</v>
      </c>
      <c r="M4" s="1">
        <f>VALUE(RTD("truedata.velocity",,A4,"ASK"))</f>
        <v>0</v>
      </c>
      <c r="N4" s="1">
        <f>VALUE(RTD("truedata.velocity",,A4,"BIDSIZE"))</f>
        <v>0</v>
      </c>
      <c r="O4" s="1">
        <f>VALUE(RTD("truedata.velocity",,A4,"ASKSIZE"))</f>
        <v>0</v>
      </c>
      <c r="P4" s="13">
        <f>VALUE(RTD("truedata.velocity",,A4,"PREVOI"))</f>
        <v>0</v>
      </c>
      <c r="Q4" s="13">
        <f>VALUE(RTD("truedata.velocity",,A4,"AVERAGE"))</f>
        <v>0</v>
      </c>
      <c r="R4" s="13"/>
      <c r="S4" s="16"/>
      <c r="T4" s="19" t="s">
        <v>27</v>
      </c>
      <c r="U4" s="23">
        <f ca="1">TODAY()</f>
        <v>44838</v>
      </c>
      <c r="V4" s="16"/>
      <c r="W4" s="16"/>
      <c r="X4" s="16"/>
      <c r="Y4" s="16"/>
      <c r="Z4" s="16">
        <f ca="1">WEEKDAY(U4,15)</f>
        <v>5</v>
      </c>
      <c r="AA4" s="17" t="str">
        <f t="shared" ref="AA4" ca="1" si="2">TEXT(U4,"dddd")</f>
        <v>Tuesday</v>
      </c>
    </row>
    <row r="5" spans="1:27" x14ac:dyDescent="0.3">
      <c r="A5" s="1" t="s">
        <v>18</v>
      </c>
      <c r="B5" s="1">
        <f>VALUE(RTD("truedata.velocity",,A5,"LAST"))</f>
        <v>39244.699999999997</v>
      </c>
      <c r="C5" s="1">
        <f t="shared" si="0"/>
        <v>1085.5499999999956</v>
      </c>
      <c r="D5" s="2">
        <f t="shared" si="1"/>
        <v>2.8447960711913016E-2</v>
      </c>
      <c r="E5" s="1">
        <f>VALUE(RTD("truedata.velocity",,A5,"OPEN"))</f>
        <v>38776</v>
      </c>
      <c r="F5" s="1">
        <f>VALUE(RTD("truedata.velocity",,A5,"HIGH"))</f>
        <v>39348.25</v>
      </c>
      <c r="G5" s="1">
        <f>VALUE(RTD("truedata.velocity",,A5,"LOW"))</f>
        <v>38720.1</v>
      </c>
      <c r="H5" s="1">
        <f>VALUE(RTD("truedata.velocity",,A5,"PREV"))</f>
        <v>38159.15</v>
      </c>
      <c r="I5" s="1">
        <f>VALUE(RTD("truedata.velocity",,A5,"TRADEVOL"))</f>
        <v>250</v>
      </c>
      <c r="J5" s="1">
        <f>VALUE(RTD("truedata.velocity",,A5,"TOTALVOL"))</f>
        <v>3897675</v>
      </c>
      <c r="K5" s="1">
        <f>VALUE(RTD("truedata.velocity",,A5,"OI"))</f>
        <v>2212075</v>
      </c>
      <c r="L5" s="1">
        <f>VALUE(RTD("truedata.velocity",,A5,"BID"))</f>
        <v>39243.85</v>
      </c>
      <c r="M5" s="1">
        <f>VALUE(RTD("truedata.velocity",,A5,"ASK"))</f>
        <v>39249.9</v>
      </c>
      <c r="N5" s="1">
        <f>VALUE(RTD("truedata.velocity",,A5,"BIDSIZE"))</f>
        <v>25</v>
      </c>
      <c r="O5" s="1">
        <f>VALUE(RTD("truedata.velocity",,A5,"ASKSIZE"))</f>
        <v>25</v>
      </c>
      <c r="P5" s="13">
        <f>VALUE(RTD("truedata.velocity",,A5,"PREVOI"))</f>
        <v>2158900</v>
      </c>
      <c r="Q5" s="13">
        <f>VALUE(RTD("truedata.velocity",,A5,"AVERAGE"))</f>
        <v>39153.68</v>
      </c>
      <c r="R5" s="13"/>
      <c r="S5" s="16"/>
      <c r="T5" s="16"/>
      <c r="U5" s="18"/>
      <c r="V5" s="16"/>
      <c r="W5" s="16"/>
      <c r="X5" s="16"/>
      <c r="Y5" s="16"/>
      <c r="Z5" s="16"/>
      <c r="AA5" s="17"/>
    </row>
    <row r="6" spans="1:27" x14ac:dyDescent="0.3">
      <c r="A6" s="1" t="s">
        <v>1</v>
      </c>
      <c r="B6" s="1">
        <f>VALUE(RTD("truedata.velocity",,A6,"LAST"))</f>
        <v>3084.15</v>
      </c>
      <c r="C6" s="1">
        <f t="shared" si="0"/>
        <v>99.200000000000273</v>
      </c>
      <c r="D6" s="2">
        <f t="shared" si="1"/>
        <v>3.3233387493927964E-2</v>
      </c>
      <c r="E6" s="1">
        <f>VALUE(RTD("truedata.velocity",,A6,"OPEN"))</f>
        <v>3029.95</v>
      </c>
      <c r="F6" s="1">
        <f>VALUE(RTD("truedata.velocity",,A6,"HIGH"))</f>
        <v>3093</v>
      </c>
      <c r="G6" s="1">
        <f>VALUE(RTD("truedata.velocity",,A6,"LOW"))</f>
        <v>3023</v>
      </c>
      <c r="H6" s="1">
        <f>VALUE(RTD("truedata.velocity",,A6,"PREV"))</f>
        <v>2984.95</v>
      </c>
      <c r="I6" s="1">
        <f>VALUE(RTD("truedata.velocity",,A6,"TRADEVOL"))</f>
        <v>201</v>
      </c>
      <c r="J6" s="1">
        <f>VALUE(RTD("truedata.velocity",,A6,"TOTALVOL"))</f>
        <v>1572029</v>
      </c>
      <c r="K6" s="1">
        <f>VALUE(RTD("truedata.velocity",,A6,"OI"))</f>
        <v>0</v>
      </c>
      <c r="L6" s="1">
        <f>VALUE(RTD("truedata.velocity",,A6,"BID"))</f>
        <v>3084</v>
      </c>
      <c r="M6" s="1">
        <f>VALUE(RTD("truedata.velocity",,A6,"ASK"))</f>
        <v>3084.15</v>
      </c>
      <c r="N6" s="1">
        <f>VALUE(RTD("truedata.velocity",,A6,"BIDSIZE"))</f>
        <v>10</v>
      </c>
      <c r="O6" s="1">
        <f>VALUE(RTD("truedata.velocity",,A6,"ASKSIZE"))</f>
        <v>15</v>
      </c>
      <c r="P6" s="13">
        <f>VALUE(RTD("truedata.velocity",,A6,"PREVOI"))</f>
        <v>0</v>
      </c>
      <c r="Q6" s="13">
        <f>VALUE(RTD("truedata.velocity",,A6,"AVERAGE"))</f>
        <v>3066.77</v>
      </c>
      <c r="R6" s="13"/>
      <c r="S6" s="16"/>
      <c r="T6" s="16"/>
      <c r="U6" s="18"/>
      <c r="V6" s="16"/>
      <c r="W6" s="16"/>
      <c r="X6" s="16"/>
      <c r="Y6" s="16"/>
      <c r="Z6" s="17"/>
      <c r="AA6" s="17"/>
    </row>
    <row r="7" spans="1:27" x14ac:dyDescent="0.3">
      <c r="A7" s="1" t="s">
        <v>33</v>
      </c>
      <c r="B7" s="1">
        <f>VALUE(RTD("truedata.velocity",,A7,"LAST"))</f>
        <v>2417.5</v>
      </c>
      <c r="C7" s="1">
        <f t="shared" si="0"/>
        <v>48</v>
      </c>
      <c r="D7" s="2">
        <f t="shared" si="1"/>
        <v>2.0257438278117747E-2</v>
      </c>
      <c r="E7" s="1">
        <f>VALUE(RTD("truedata.velocity",,A7,"OPEN"))</f>
        <v>2397.8000000000002</v>
      </c>
      <c r="F7" s="1">
        <f>VALUE(RTD("truedata.velocity",,A7,"HIGH"))</f>
        <v>2418</v>
      </c>
      <c r="G7" s="1">
        <f>VALUE(RTD("truedata.velocity",,A7,"LOW"))</f>
        <v>2390.15</v>
      </c>
      <c r="H7" s="1">
        <f>VALUE(RTD("truedata.velocity",,A7,"PREV"))</f>
        <v>2369.5</v>
      </c>
      <c r="I7" s="1">
        <f>VALUE(RTD("truedata.velocity",,A7,"TRADEVOL"))</f>
        <v>178</v>
      </c>
      <c r="J7" s="1">
        <f>VALUE(RTD("truedata.velocity",,A7,"TOTALVOL"))</f>
        <v>3313885</v>
      </c>
      <c r="K7" s="1">
        <f>VALUE(RTD("truedata.velocity",,A7,"OI"))</f>
        <v>0</v>
      </c>
      <c r="L7" s="1">
        <f>VALUE(RTD("truedata.velocity",,A7,"BID"))</f>
        <v>2417.4499999999998</v>
      </c>
      <c r="M7" s="1">
        <f>VALUE(RTD("truedata.velocity",,A7,"ASK"))</f>
        <v>2417.5</v>
      </c>
      <c r="N7" s="1">
        <f>VALUE(RTD("truedata.velocity",,A7,"BIDSIZE"))</f>
        <v>4</v>
      </c>
      <c r="O7" s="1">
        <f>VALUE(RTD("truedata.velocity",,A7,"ASKSIZE"))</f>
        <v>520</v>
      </c>
      <c r="P7" s="13">
        <f>VALUE(RTD("truedata.velocity",,A7,"PREVOI"))</f>
        <v>0</v>
      </c>
      <c r="Q7" s="13">
        <f>VALUE(RTD("truedata.velocity",,A7,"AVERAGE"))</f>
        <v>2405.0100000000002</v>
      </c>
      <c r="R7" s="13"/>
      <c r="S7" s="16"/>
      <c r="T7" s="16"/>
      <c r="U7" s="18"/>
      <c r="V7" s="16"/>
      <c r="W7" s="16"/>
      <c r="X7" s="16"/>
      <c r="Y7" s="16"/>
      <c r="Z7" s="17"/>
      <c r="AA7" s="17"/>
    </row>
    <row r="8" spans="1:27" x14ac:dyDescent="0.3">
      <c r="A8" s="1" t="s">
        <v>34</v>
      </c>
      <c r="B8" s="1">
        <f>VALUE(RTD("truedata.velocity",,A8,"LAST"))</f>
        <v>2423.85</v>
      </c>
      <c r="C8" s="1">
        <f t="shared" si="0"/>
        <v>45.099999999999909</v>
      </c>
      <c r="D8" s="2">
        <f t="shared" si="1"/>
        <v>1.8959537572254298E-2</v>
      </c>
      <c r="E8" s="1">
        <f>VALUE(RTD("truedata.velocity",,A8,"OPEN"))</f>
        <v>2404.5500000000002</v>
      </c>
      <c r="F8" s="1">
        <f>VALUE(RTD("truedata.velocity",,A8,"HIGH"))</f>
        <v>2424.9499999999998</v>
      </c>
      <c r="G8" s="1">
        <f>VALUE(RTD("truedata.velocity",,A8,"LOW"))</f>
        <v>2398</v>
      </c>
      <c r="H8" s="1">
        <f>VALUE(RTD("truedata.velocity",,A8,"PREV"))</f>
        <v>2378.75</v>
      </c>
      <c r="I8" s="1">
        <f>VALUE(RTD("truedata.velocity",,A8,"TRADEVOL"))</f>
        <v>250</v>
      </c>
      <c r="J8" s="1">
        <f>VALUE(RTD("truedata.velocity",,A8,"TOTALVOL"))</f>
        <v>6064000</v>
      </c>
      <c r="K8" s="1">
        <f>VALUE(RTD("truedata.velocity",,A8,"OI"))</f>
        <v>35700500</v>
      </c>
      <c r="L8" s="1">
        <f>VALUE(RTD("truedata.velocity",,A8,"BID"))</f>
        <v>2423.35</v>
      </c>
      <c r="M8" s="1">
        <f>VALUE(RTD("truedata.velocity",,A8,"ASK"))</f>
        <v>2423.9499999999998</v>
      </c>
      <c r="N8" s="1">
        <f>VALUE(RTD("truedata.velocity",,A8,"BIDSIZE"))</f>
        <v>250</v>
      </c>
      <c r="O8" s="1">
        <f>VALUE(RTD("truedata.velocity",,A8,"ASKSIZE"))</f>
        <v>250</v>
      </c>
      <c r="P8" s="13">
        <f>VALUE(RTD("truedata.velocity",,A8,"PREVOI"))</f>
        <v>36110250</v>
      </c>
      <c r="Q8" s="13">
        <f>VALUE(RTD("truedata.velocity",,A8,"AVERAGE"))</f>
        <v>2411.31</v>
      </c>
      <c r="R8" s="13"/>
      <c r="S8" s="16"/>
      <c r="T8" s="16"/>
      <c r="U8" s="18"/>
      <c r="V8" s="19" t="s">
        <v>48</v>
      </c>
      <c r="W8" s="19" t="s">
        <v>47</v>
      </c>
      <c r="X8" s="19" t="s">
        <v>46</v>
      </c>
      <c r="Y8" s="19" t="s">
        <v>49</v>
      </c>
      <c r="Z8" s="24" t="s">
        <v>38</v>
      </c>
      <c r="AA8" s="24" t="s">
        <v>39</v>
      </c>
    </row>
    <row r="9" spans="1:27" x14ac:dyDescent="0.3">
      <c r="A9" s="15" t="s">
        <v>32</v>
      </c>
      <c r="B9" s="13">
        <f>VALUE(RTD("truedata.velocity",,A9,"LAST"))</f>
        <v>1427.75</v>
      </c>
      <c r="C9" s="13">
        <f>B9-H9</f>
        <v>34</v>
      </c>
      <c r="D9" s="14">
        <f>C9/H9</f>
        <v>2.4394618834080718E-2</v>
      </c>
      <c r="E9" s="13">
        <f>VALUE(RTD("truedata.velocity",,A9,"OPEN"))</f>
        <v>1419.7</v>
      </c>
      <c r="F9" s="13">
        <f>VALUE(RTD("truedata.velocity",,A9,"HIGH"))</f>
        <v>1432.25</v>
      </c>
      <c r="G9" s="13">
        <f>VALUE(RTD("truedata.velocity",,A9,"LOW"))</f>
        <v>1414</v>
      </c>
      <c r="H9" s="13">
        <f>VALUE(RTD("truedata.velocity",,A9,"PREV"))</f>
        <v>1393.75</v>
      </c>
      <c r="I9" s="13">
        <f>VALUE(RTD("truedata.velocity",,A9,"TRADEVOL"))</f>
        <v>72</v>
      </c>
      <c r="J9" s="13">
        <f>VALUE(RTD("truedata.velocity",,A9,"TOTALVOL"))</f>
        <v>5022539</v>
      </c>
      <c r="K9" s="13">
        <f>VALUE(RTD("truedata.velocity",,A9,"OI"))</f>
        <v>0</v>
      </c>
      <c r="L9" s="13">
        <f>VALUE(RTD("truedata.velocity",,A9,"BID"))</f>
        <v>1427.75</v>
      </c>
      <c r="M9" s="13">
        <f>VALUE(RTD("truedata.velocity",,A9,"ASK"))</f>
        <v>1428</v>
      </c>
      <c r="N9" s="13">
        <f>VALUE(RTD("truedata.velocity",,A9,"BIDSIZE"))</f>
        <v>110</v>
      </c>
      <c r="O9" s="13">
        <f>VALUE(RTD("truedata.velocity",,A9,"ASKSIZE"))</f>
        <v>585</v>
      </c>
      <c r="P9" s="13">
        <f>VALUE(RTD("truedata.velocity",,A9,"PREVOI"))</f>
        <v>0</v>
      </c>
      <c r="Q9" s="13">
        <f>VALUE(RTD("truedata.velocity",,A9,"AVERAGE"))</f>
        <v>1425.89</v>
      </c>
      <c r="R9" s="13"/>
      <c r="S9" s="16"/>
      <c r="T9" s="16" t="s">
        <v>40</v>
      </c>
      <c r="U9" s="18">
        <f ca="1">U4+7-Z4</f>
        <v>44840</v>
      </c>
      <c r="V9" s="16" t="str">
        <f ca="1">TEXT(U9,"yy")</f>
        <v>22</v>
      </c>
      <c r="W9" s="16" t="str">
        <f ca="1">TEXT(U9,"mm")</f>
        <v>10</v>
      </c>
      <c r="X9" s="16" t="str">
        <f ca="1">TEXT(U9,"dd")</f>
        <v>06</v>
      </c>
      <c r="Y9" s="16">
        <f ca="1">VALUE(CONCATENATE(V9,W9,X9))</f>
        <v>221006</v>
      </c>
      <c r="Z9" s="16">
        <f ca="1">WEEKDAY(U9,15)</f>
        <v>7</v>
      </c>
      <c r="AA9" s="17" t="str">
        <f ca="1">TEXT(U9,"dddd")</f>
        <v>Thursday</v>
      </c>
    </row>
    <row r="10" spans="1:27" x14ac:dyDescent="0.3">
      <c r="A10" s="15" t="s">
        <v>35</v>
      </c>
      <c r="B10" s="13">
        <f>VALUE(RTD("truedata.velocity",,A10,"LAST"))</f>
        <v>263.7</v>
      </c>
      <c r="C10" s="13">
        <f>B10-H10</f>
        <v>11.5</v>
      </c>
      <c r="D10" s="14">
        <f>C10/H10</f>
        <v>4.559873116574148E-2</v>
      </c>
      <c r="E10" s="13">
        <f>VALUE(RTD("truedata.velocity",,A10,"OPEN"))</f>
        <v>257.45</v>
      </c>
      <c r="F10" s="13">
        <f>VALUE(RTD("truedata.velocity",,A10,"HIGH"))</f>
        <v>264.5</v>
      </c>
      <c r="G10" s="13">
        <f>VALUE(RTD("truedata.velocity",,A10,"LOW"))</f>
        <v>255.25</v>
      </c>
      <c r="H10" s="13">
        <f>VALUE(RTD("truedata.velocity",,A10,"PREV"))</f>
        <v>252.2</v>
      </c>
      <c r="I10" s="13">
        <f>VALUE(RTD("truedata.velocity",,A10,"TRADEVOL"))</f>
        <v>18</v>
      </c>
      <c r="J10" s="13">
        <f>VALUE(RTD("truedata.velocity",,A10,"TOTALVOL"))</f>
        <v>10021050</v>
      </c>
      <c r="K10" s="13">
        <f>VALUE(RTD("truedata.velocity",,A10,"OI"))</f>
        <v>0</v>
      </c>
      <c r="L10" s="13">
        <f>VALUE(RTD("truedata.velocity",,A10,"BID"))</f>
        <v>263.7</v>
      </c>
      <c r="M10" s="13">
        <f>VALUE(RTD("truedata.velocity",,A10,"ASK"))</f>
        <v>263.75</v>
      </c>
      <c r="N10" s="13">
        <f>VALUE(RTD("truedata.velocity",,A10,"BIDSIZE"))</f>
        <v>2953</v>
      </c>
      <c r="O10" s="13">
        <f>VALUE(RTD("truedata.velocity",,A10,"ASKSIZE"))</f>
        <v>50</v>
      </c>
      <c r="P10" s="13">
        <f>VALUE(RTD("truedata.velocity",,A10,"PREVOI"))</f>
        <v>0</v>
      </c>
      <c r="Q10" s="13">
        <f>VALUE(RTD("truedata.velocity",,A10,"AVERAGE"))</f>
        <v>259.24</v>
      </c>
      <c r="R10" s="13"/>
      <c r="S10" s="16"/>
      <c r="T10" s="16" t="s">
        <v>41</v>
      </c>
      <c r="U10" s="18">
        <f ca="1">U9+7</f>
        <v>44847</v>
      </c>
      <c r="V10" s="16" t="str">
        <f t="shared" ref="V10:V14" ca="1" si="3">TEXT(U10,"yy")</f>
        <v>22</v>
      </c>
      <c r="W10" s="16" t="str">
        <f t="shared" ref="W10:W14" ca="1" si="4">TEXT(U10,"mm")</f>
        <v>10</v>
      </c>
      <c r="X10" s="16" t="str">
        <f t="shared" ref="X10:X14" ca="1" si="5">TEXT(U10,"dd")</f>
        <v>13</v>
      </c>
      <c r="Y10" s="16">
        <f t="shared" ref="Y10:Y14" ca="1" si="6">VALUE(CONCATENATE(V10,W10,X10))</f>
        <v>221013</v>
      </c>
      <c r="Z10" s="16">
        <f t="shared" ref="Z10:Z14" ca="1" si="7">WEEKDAY(U10,15)</f>
        <v>7</v>
      </c>
      <c r="AA10" s="17" t="str">
        <f ca="1">TEXT(U10,"dddd")</f>
        <v>Thursday</v>
      </c>
    </row>
    <row r="11" spans="1:27" ht="16.2" thickBot="1" x14ac:dyDescent="0.35">
      <c r="J11" s="26" t="s">
        <v>26</v>
      </c>
      <c r="K11" s="26"/>
      <c r="L11" s="26"/>
      <c r="N11" s="1" t="s">
        <v>28</v>
      </c>
      <c r="O11" s="1" t="s">
        <v>29</v>
      </c>
      <c r="S11" s="16"/>
      <c r="T11" s="16" t="s">
        <v>42</v>
      </c>
      <c r="U11" s="18">
        <f t="shared" ref="U11:U14" ca="1" si="8">U10+7</f>
        <v>44854</v>
      </c>
      <c r="V11" s="16" t="str">
        <f t="shared" ca="1" si="3"/>
        <v>22</v>
      </c>
      <c r="W11" s="16" t="str">
        <f t="shared" ca="1" si="4"/>
        <v>10</v>
      </c>
      <c r="X11" s="16" t="str">
        <f t="shared" ca="1" si="5"/>
        <v>20</v>
      </c>
      <c r="Y11" s="16">
        <f t="shared" ca="1" si="6"/>
        <v>221020</v>
      </c>
      <c r="Z11" s="16">
        <f t="shared" ca="1" si="7"/>
        <v>7</v>
      </c>
      <c r="AA11" s="17" t="str">
        <f t="shared" ref="AA11:AA14" ca="1" si="9">TEXT(U11,"dddd")</f>
        <v>Thursday</v>
      </c>
    </row>
    <row r="12" spans="1:27" ht="16.8" thickTop="1" thickBot="1" x14ac:dyDescent="0.35">
      <c r="I12" s="20">
        <v>221006</v>
      </c>
      <c r="J12" s="3" t="s">
        <v>2</v>
      </c>
      <c r="K12" s="10">
        <f>VALUE(RTD("truedata.velocity",,J12,"LAST"))</f>
        <v>17269.2</v>
      </c>
      <c r="L12" s="3">
        <v>100</v>
      </c>
      <c r="N12" s="4">
        <f ca="1">NOW()</f>
        <v>44838.605136458333</v>
      </c>
      <c r="O12" s="5">
        <f ca="1">NOW()</f>
        <v>44838.605136458333</v>
      </c>
      <c r="S12" s="16"/>
      <c r="T12" s="16" t="s">
        <v>43</v>
      </c>
      <c r="U12" s="18">
        <f t="shared" ca="1" si="8"/>
        <v>44861</v>
      </c>
      <c r="V12" s="16" t="str">
        <f t="shared" ca="1" si="3"/>
        <v>22</v>
      </c>
      <c r="W12" s="16" t="str">
        <f t="shared" ca="1" si="4"/>
        <v>10</v>
      </c>
      <c r="X12" s="16" t="str">
        <f t="shared" ca="1" si="5"/>
        <v>27</v>
      </c>
      <c r="Y12" s="16">
        <f t="shared" ca="1" si="6"/>
        <v>221027</v>
      </c>
      <c r="Z12" s="16">
        <f t="shared" ca="1" si="7"/>
        <v>7</v>
      </c>
      <c r="AA12" s="17" t="str">
        <f t="shared" ca="1" si="9"/>
        <v>Thursday</v>
      </c>
    </row>
    <row r="13" spans="1:27" ht="16.2" thickTop="1" x14ac:dyDescent="0.3">
      <c r="J13" s="6" t="s">
        <v>21</v>
      </c>
      <c r="K13" s="6"/>
      <c r="L13" s="6" t="s">
        <v>19</v>
      </c>
      <c r="N13" s="1" t="s">
        <v>25</v>
      </c>
      <c r="S13" s="16"/>
      <c r="T13" s="16" t="s">
        <v>44</v>
      </c>
      <c r="U13" s="18">
        <f t="shared" ca="1" si="8"/>
        <v>44868</v>
      </c>
      <c r="V13" s="16" t="str">
        <f t="shared" ca="1" si="3"/>
        <v>22</v>
      </c>
      <c r="W13" s="16" t="str">
        <f t="shared" ca="1" si="4"/>
        <v>11</v>
      </c>
      <c r="X13" s="16" t="str">
        <f t="shared" ca="1" si="5"/>
        <v>03</v>
      </c>
      <c r="Y13" s="16">
        <f t="shared" ca="1" si="6"/>
        <v>221103</v>
      </c>
      <c r="Z13" s="16">
        <f t="shared" ca="1" si="7"/>
        <v>7</v>
      </c>
      <c r="AA13" s="17" t="str">
        <f t="shared" ca="1" si="9"/>
        <v>Thursday</v>
      </c>
    </row>
    <row r="14" spans="1:27" x14ac:dyDescent="0.3">
      <c r="I14" s="1" t="str">
        <f>IF(J14=MAX($J$14:$J$25),J14,"")</f>
        <v/>
      </c>
      <c r="J14" s="1">
        <f>IF(AND(K14&gt;-($L$12*20),K14&lt;($L$12*20)),"Wait",VALUE(RTD("truedata.velocity",,(CONCATENATE($J$12,$I$12,K14,$J$13)),"OI")))</f>
        <v>586600</v>
      </c>
      <c r="K14" s="1">
        <f>K15-$L$12</f>
        <v>16800</v>
      </c>
      <c r="L14" s="1">
        <f>IF(AND(K14&gt;-($L$12*20),K14&lt;($L$12*20)),"Wait",VALUE(RTD("truedata.velocity",,(CONCATENATE($J$12,$I$12,K14,$L$13)),"OI")))</f>
        <v>5214400</v>
      </c>
      <c r="M14" s="1" t="str">
        <f t="shared" ref="M14:M25" si="10">IF(L14=MAX($L$14:$L$25),L14,"")</f>
        <v/>
      </c>
      <c r="N14" s="8">
        <f>L14/J14</f>
        <v>8.8891919536310944</v>
      </c>
      <c r="S14" s="16"/>
      <c r="T14" s="16" t="s">
        <v>45</v>
      </c>
      <c r="U14" s="18">
        <f t="shared" ca="1" si="8"/>
        <v>44875</v>
      </c>
      <c r="V14" s="16" t="str">
        <f t="shared" ca="1" si="3"/>
        <v>22</v>
      </c>
      <c r="W14" s="16" t="str">
        <f t="shared" ca="1" si="4"/>
        <v>11</v>
      </c>
      <c r="X14" s="16" t="str">
        <f t="shared" ca="1" si="5"/>
        <v>10</v>
      </c>
      <c r="Y14" s="16">
        <f t="shared" ca="1" si="6"/>
        <v>221110</v>
      </c>
      <c r="Z14" s="16">
        <f t="shared" ca="1" si="7"/>
        <v>7</v>
      </c>
      <c r="AA14" s="17" t="str">
        <f t="shared" ca="1" si="9"/>
        <v>Thursday</v>
      </c>
    </row>
    <row r="15" spans="1:27" x14ac:dyDescent="0.3">
      <c r="I15" s="1" t="str">
        <f>IF(J15=MAX($J$14:$J$25),J15,"")</f>
        <v/>
      </c>
      <c r="J15" s="1">
        <f>IF(AND(K15&gt;-($L$12*20),K15&lt;($L$12*20)),"Wait",VALUE(RTD("truedata.velocity",,(CONCATENATE($J$12,$I$12,K15,$J$13)),"OI")))</f>
        <v>950850</v>
      </c>
      <c r="K15" s="1">
        <f>K16-$L$12</f>
        <v>16900</v>
      </c>
      <c r="L15" s="1">
        <f>IF(AND(K15&gt;-($L$12*20),K15&lt;($L$12*20)),"Wait",VALUE(RTD("truedata.velocity",,(CONCATENATE($J$12,$I$12,K15,$L$13)),"OI")))</f>
        <v>4112550</v>
      </c>
      <c r="M15" s="1" t="str">
        <f t="shared" si="10"/>
        <v/>
      </c>
      <c r="N15" s="8">
        <f t="shared" ref="N15:N25" si="11">L15/J15</f>
        <v>4.3251301467108378</v>
      </c>
      <c r="S15" s="16"/>
      <c r="T15" s="16" t="s">
        <v>50</v>
      </c>
      <c r="U15" s="29" t="s">
        <v>52</v>
      </c>
      <c r="V15" s="30"/>
      <c r="W15" s="30"/>
      <c r="X15" s="31"/>
      <c r="Y15" s="25" t="s">
        <v>51</v>
      </c>
      <c r="Z15" s="17"/>
      <c r="AA15" s="17"/>
    </row>
    <row r="16" spans="1:27" x14ac:dyDescent="0.3">
      <c r="I16" s="1" t="str">
        <f>IF(J16=MAX($J$14:$J$25),J16,"")</f>
        <v/>
      </c>
      <c r="J16" s="1">
        <f>IF(AND(K16&gt;-($L$12*20),K16&lt;($L$12*20)),"Wait",VALUE(RTD("truedata.velocity",,(CONCATENATE($J$12,$I$12,K16,$J$13)),"OI")))</f>
        <v>2882500</v>
      </c>
      <c r="K16" s="1">
        <f>K17-$L$12</f>
        <v>17000</v>
      </c>
      <c r="L16" s="1">
        <f>IF(AND(K16&gt;-($L$12*20),K16&lt;($L$12*20)),"Wait",VALUE(RTD("truedata.velocity",,(CONCATENATE($J$12,$I$12,K16,$L$13)),"OI")))</f>
        <v>8847000</v>
      </c>
      <c r="M16" s="1" t="str">
        <f t="shared" si="10"/>
        <v/>
      </c>
      <c r="N16" s="8">
        <f t="shared" si="11"/>
        <v>3.0692107545533389</v>
      </c>
      <c r="S16" s="16"/>
      <c r="T16" s="16"/>
      <c r="U16" s="18"/>
      <c r="V16" s="16"/>
      <c r="W16" s="16"/>
      <c r="X16" s="16"/>
      <c r="Y16" s="16"/>
      <c r="Z16" s="17"/>
      <c r="AA16" s="17"/>
    </row>
    <row r="17" spans="2:27" x14ac:dyDescent="0.3">
      <c r="B17" s="1" t="s">
        <v>20</v>
      </c>
      <c r="C17" s="1" t="str">
        <f>RTD("truedata.velocity",,B17,"LAST")</f>
        <v>39077.5</v>
      </c>
      <c r="D17" s="1" t="str">
        <f>RTD("truedata.velocity",,B17,"PREV")</f>
        <v>38029.65</v>
      </c>
      <c r="I17" s="1" t="str">
        <f>IF(J17=MAX($J$14:$J$25),J17,"")</f>
        <v/>
      </c>
      <c r="J17" s="1">
        <f>IF(AND(K17&gt;-($L$12*20),K17&lt;($L$12*20)),"Wait",VALUE(RTD("truedata.velocity",,(CONCATENATE($J$12,$I$12,K17,$J$13)),"OI")))</f>
        <v>2154250</v>
      </c>
      <c r="K17" s="1">
        <f>K18-$L$12</f>
        <v>17100</v>
      </c>
      <c r="L17" s="1">
        <f>IF(AND(K17&gt;-($L$12*20),K17&lt;($L$12*20)),"Wait",VALUE(RTD("truedata.velocity",,(CONCATENATE($J$12,$I$12,K17,$L$13)),"OI")))</f>
        <v>7944050</v>
      </c>
      <c r="M17" s="1" t="str">
        <f t="shared" si="10"/>
        <v/>
      </c>
      <c r="N17" s="8">
        <f t="shared" si="11"/>
        <v>3.6876175002901244</v>
      </c>
      <c r="S17" s="16"/>
      <c r="T17" s="16"/>
      <c r="U17" s="18"/>
      <c r="V17" s="16"/>
      <c r="W17" s="16"/>
      <c r="X17" s="16"/>
      <c r="Y17" s="16"/>
      <c r="Z17" s="17"/>
      <c r="AA17" s="17"/>
    </row>
    <row r="18" spans="2:27" x14ac:dyDescent="0.3">
      <c r="B18" s="1" t="s">
        <v>22</v>
      </c>
      <c r="C18" s="1" t="str">
        <f>RTD("truedata.velocity",,B18,"LAST")</f>
        <v>17291</v>
      </c>
      <c r="D18" s="1" t="str">
        <f>RTD("truedata.velocity",,B18,"PREV")</f>
        <v>16895.65</v>
      </c>
      <c r="I18" s="1" t="str">
        <f>IF(J18=MAX($J$14:$J$25),J18,"")</f>
        <v/>
      </c>
      <c r="J18" s="1">
        <f>IF(AND(K18&gt;-($L$12*20),K18&lt;($L$12*20)),"Wait",VALUE(RTD("truedata.velocity",,(CONCATENATE($J$12,$I$12,K18,$J$13)),"OI")))</f>
        <v>5749900</v>
      </c>
      <c r="K18" s="1">
        <f>K19-$L$12</f>
        <v>17200</v>
      </c>
      <c r="L18" s="1">
        <f>IF(AND(K18&gt;-($L$12*20),K18&lt;($L$12*20)),"Wait",VALUE(RTD("truedata.velocity",,(CONCATENATE($J$12,$I$12,K18,$L$13)),"OI")))</f>
        <v>10392000</v>
      </c>
      <c r="M18" s="1">
        <f t="shared" si="10"/>
        <v>10392000</v>
      </c>
      <c r="N18" s="8">
        <f t="shared" si="11"/>
        <v>1.8073357797526914</v>
      </c>
      <c r="Z18"/>
      <c r="AA18"/>
    </row>
    <row r="19" spans="2:27" x14ac:dyDescent="0.3">
      <c r="I19" s="1" t="str">
        <f t="shared" ref="I19:I25" si="12">IF(J19=MAX($J$14:$J$25),J19,"")</f>
        <v/>
      </c>
      <c r="J19" s="1">
        <f>IF(AND(K19&gt;-($L$12*20),K19&lt;($L$12*20)),"Wait",VALUE(RTD("truedata.velocity",,(CONCATENATE($J$12,$I$12,K19,$J$13)),"OI")))</f>
        <v>5652650</v>
      </c>
      <c r="K19" s="7">
        <f>MROUND(K12,L12)</f>
        <v>17300</v>
      </c>
      <c r="L19" s="1">
        <f>IF(AND(K19&gt;-($L$12*20),K19&lt;($L$12*20)),"Wait",VALUE(RTD("truedata.velocity",,(CONCATENATE($J$12,$I$12,K19,$L$13)),"OI")))</f>
        <v>2784700</v>
      </c>
      <c r="M19" s="1" t="str">
        <f t="shared" si="10"/>
        <v/>
      </c>
      <c r="N19" s="8">
        <f t="shared" si="11"/>
        <v>0.49263619718185275</v>
      </c>
      <c r="T19" s="4"/>
      <c r="Z19"/>
      <c r="AA19"/>
    </row>
    <row r="20" spans="2:27" x14ac:dyDescent="0.3">
      <c r="I20" s="1" t="str">
        <f t="shared" si="12"/>
        <v/>
      </c>
      <c r="J20" s="1">
        <f>IF(AND(K20&gt;-($L$12*20),K20&lt;($L$12*20)),"Wait",VALUE(RTD("truedata.velocity",,(CONCATENATE($J$12,$I$12,K20,$J$13)),"OI")))</f>
        <v>5503700</v>
      </c>
      <c r="K20" s="1">
        <f t="shared" ref="K20:K25" si="13">K19+$L$12</f>
        <v>17400</v>
      </c>
      <c r="L20" s="1">
        <f>IF(AND(K20&gt;-($L$12*20),K20&lt;($L$12*20)),"Wait",VALUE(RTD("truedata.velocity",,(CONCATENATE($J$12,$I$12,K20,$L$13)),"OI")))</f>
        <v>774600</v>
      </c>
      <c r="M20" s="1" t="str">
        <f t="shared" si="10"/>
        <v/>
      </c>
      <c r="N20" s="8">
        <f t="shared" si="11"/>
        <v>0.14074168286788888</v>
      </c>
      <c r="V20"/>
      <c r="W20"/>
      <c r="X20"/>
      <c r="Y20"/>
      <c r="Z20"/>
      <c r="AA20"/>
    </row>
    <row r="21" spans="2:27" x14ac:dyDescent="0.3">
      <c r="I21" s="1">
        <f t="shared" si="12"/>
        <v>8637450</v>
      </c>
      <c r="J21" s="1">
        <f>IF(AND(K21&gt;-($L$12*20),K21&lt;($L$12*20)),"Wait",VALUE(RTD("truedata.velocity",,(CONCATENATE($J$12,$I$12,K21,$J$13)),"OI")))</f>
        <v>8637450</v>
      </c>
      <c r="K21" s="1">
        <f t="shared" si="13"/>
        <v>17500</v>
      </c>
      <c r="L21" s="1">
        <f>IF(AND(K21&gt;-($L$12*20),K21&lt;($L$12*20)),"Wait",VALUE(RTD("truedata.velocity",,(CONCATENATE($J$12,$I$12,K21,$L$13)),"OI")))</f>
        <v>377600</v>
      </c>
      <c r="M21" s="1" t="str">
        <f t="shared" si="10"/>
        <v/>
      </c>
      <c r="N21" s="8">
        <f t="shared" si="11"/>
        <v>4.3716606174275974E-2</v>
      </c>
    </row>
    <row r="22" spans="2:27" x14ac:dyDescent="0.3">
      <c r="I22" s="1" t="str">
        <f t="shared" si="12"/>
        <v/>
      </c>
      <c r="J22" s="1">
        <f>IF(AND(K22&gt;-($L$12*20),K22&lt;($L$12*20)),"Wait",VALUE(RTD("truedata.velocity",,(CONCATENATE($J$12,$I$12,K22,$J$13)),"OI")))</f>
        <v>4511000</v>
      </c>
      <c r="K22" s="1">
        <f t="shared" si="13"/>
        <v>17600</v>
      </c>
      <c r="L22" s="1">
        <f>IF(AND(K22&gt;-($L$12*20),K22&lt;($L$12*20)),"Wait",VALUE(RTD("truedata.velocity",,(CONCATENATE($J$12,$I$12,K22,$L$13)),"OI")))</f>
        <v>102800</v>
      </c>
      <c r="M22" s="1" t="str">
        <f t="shared" si="10"/>
        <v/>
      </c>
      <c r="N22" s="8">
        <f t="shared" si="11"/>
        <v>2.2788738638882731E-2</v>
      </c>
      <c r="T22" s="12"/>
    </row>
    <row r="23" spans="2:27" x14ac:dyDescent="0.3">
      <c r="I23" s="1" t="str">
        <f t="shared" si="12"/>
        <v/>
      </c>
      <c r="J23" s="1">
        <f>IF(AND(K23&gt;-($L$12*20),K23&lt;($L$12*20)),"Wait",VALUE(RTD("truedata.velocity",,(CONCATENATE($J$12,$I$12,K23,$J$13)),"OI")))</f>
        <v>3585100</v>
      </c>
      <c r="K23" s="1">
        <f t="shared" si="13"/>
        <v>17700</v>
      </c>
      <c r="L23" s="1">
        <f>IF(AND(K23&gt;-($L$12*20),K23&lt;($L$12*20)),"Wait",VALUE(RTD("truedata.velocity",,(CONCATENATE($J$12,$I$12,K23,$L$13)),"OI")))</f>
        <v>74400</v>
      </c>
      <c r="M23" s="1" t="str">
        <f t="shared" si="10"/>
        <v/>
      </c>
      <c r="N23" s="8">
        <f t="shared" si="11"/>
        <v>2.0752559203369502E-2</v>
      </c>
    </row>
    <row r="24" spans="2:27" x14ac:dyDescent="0.3">
      <c r="I24" s="1" t="str">
        <f t="shared" si="12"/>
        <v/>
      </c>
      <c r="J24" s="1">
        <f>IF(AND(K24&gt;-($L$12*20),K24&lt;($L$12*20)),"Wait",VALUE(RTD("truedata.velocity",,(CONCATENATE($J$12,$I$12,K24,$J$13)),"OI")))</f>
        <v>3391400</v>
      </c>
      <c r="K24" s="1">
        <f t="shared" si="13"/>
        <v>17800</v>
      </c>
      <c r="L24" s="1">
        <f>IF(AND(K24&gt;-($L$12*20),K24&lt;($L$12*20)),"Wait",VALUE(RTD("truedata.velocity",,(CONCATENATE($J$12,$I$12,K24,$L$13)),"OI")))</f>
        <v>76400</v>
      </c>
      <c r="M24" s="1" t="str">
        <f t="shared" si="10"/>
        <v/>
      </c>
      <c r="N24" s="8">
        <f t="shared" si="11"/>
        <v>2.2527569735212596E-2</v>
      </c>
    </row>
    <row r="25" spans="2:27" x14ac:dyDescent="0.3">
      <c r="I25" s="1" t="str">
        <f t="shared" si="12"/>
        <v/>
      </c>
      <c r="J25" s="1">
        <f>IF(AND(K25&gt;-($L$12*20),K25&lt;($L$12*20)),"Wait",VALUE(RTD("truedata.velocity",,(CONCATENATE($J$12,$I$12,K25,$J$13)),"OI")))</f>
        <v>1413450</v>
      </c>
      <c r="K25" s="1">
        <f t="shared" si="13"/>
        <v>17900</v>
      </c>
      <c r="L25" s="1">
        <f>IF(AND(K25&gt;-($L$12*20),K25&lt;($L$12*20)),"Wait",VALUE(RTD("truedata.velocity",,(CONCATENATE($J$12,$I$12,K25,$L$13)),"OI")))</f>
        <v>62250</v>
      </c>
      <c r="M25" s="1" t="str">
        <f t="shared" si="10"/>
        <v/>
      </c>
      <c r="N25" s="8">
        <f t="shared" si="11"/>
        <v>4.4041175846333443E-2</v>
      </c>
    </row>
    <row r="26" spans="2:27" x14ac:dyDescent="0.3">
      <c r="H26" s="1" t="str">
        <f>IF(J27=MAX($J$14:$J$25),J27,"")</f>
        <v/>
      </c>
      <c r="L26" s="1" t="str">
        <f>IF(L27=MAX($L$14:$L$25),L27,"")</f>
        <v/>
      </c>
    </row>
    <row r="27" spans="2:27" x14ac:dyDescent="0.3">
      <c r="I27" s="1" t="s">
        <v>24</v>
      </c>
      <c r="J27" s="1">
        <f>SUM(J14:J25)</f>
        <v>45018850</v>
      </c>
      <c r="L27" s="1">
        <f>SUM(L14:L25)</f>
        <v>40762750</v>
      </c>
    </row>
    <row r="28" spans="2:27" x14ac:dyDescent="0.3">
      <c r="J28" s="1" t="s">
        <v>23</v>
      </c>
      <c r="K28" s="9">
        <f>L27/J27</f>
        <v>0.9054596019223059</v>
      </c>
    </row>
  </sheetData>
  <mergeCells count="3">
    <mergeCell ref="J11:L11"/>
    <mergeCell ref="V1:V2"/>
    <mergeCell ref="U15:X15"/>
  </mergeCells>
  <phoneticPr fontId="11" type="noConversion"/>
  <conditionalFormatting sqref="J14:J2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{9C60B78B-6DC4-45A0-A90C-242729FB0DCC}</x14:id>
        </ext>
      </extLst>
    </cfRule>
  </conditionalFormatting>
  <conditionalFormatting sqref="L14:L25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{4D4904C7-DAD9-400F-8C7E-266F80F44A62}</x14:id>
        </ext>
      </extLst>
    </cfRule>
  </conditionalFormatting>
  <conditionalFormatting sqref="I14:I25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M14:M25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C2:C10">
    <cfRule type="cellIs" dxfId="22" priority="17" operator="lessThan">
      <formula>0</formula>
    </cfRule>
    <cfRule type="cellIs" dxfId="21" priority="18" operator="greaterThan">
      <formula>0</formula>
    </cfRule>
  </conditionalFormatting>
  <conditionalFormatting sqref="F2:F10">
    <cfRule type="cellIs" dxfId="20" priority="15" operator="equal">
      <formula>B2</formula>
    </cfRule>
  </conditionalFormatting>
  <conditionalFormatting sqref="G2:G10">
    <cfRule type="cellIs" dxfId="19" priority="14" operator="equal">
      <formula>B2</formula>
    </cfRule>
  </conditionalFormatting>
  <conditionalFormatting sqref="B2">
    <cfRule type="iconSet" priority="7">
      <iconSet iconSet="3Arrows">
        <cfvo type="percent" val="0"/>
        <cfvo type="formula" val="$H$2"/>
        <cfvo type="formula" val="$H$2" gte="0"/>
      </iconSet>
    </cfRule>
  </conditionalFormatting>
  <conditionalFormatting sqref="B3">
    <cfRule type="iconSet" priority="6">
      <iconSet iconSet="3Arrows">
        <cfvo type="percent" val="0"/>
        <cfvo type="formula" val="$H$3"/>
        <cfvo type="formula" val="$H$3" gte="0"/>
      </iconSet>
    </cfRule>
  </conditionalFormatting>
  <conditionalFormatting sqref="B4">
    <cfRule type="iconSet" priority="5">
      <iconSet iconSet="3Arrows">
        <cfvo type="percent" val="0"/>
        <cfvo type="formula" val="$H$4"/>
        <cfvo type="formula" val="$H$4" gte="0"/>
      </iconSet>
    </cfRule>
  </conditionalFormatting>
  <conditionalFormatting sqref="B5">
    <cfRule type="iconSet" priority="4">
      <iconSet iconSet="3Arrows">
        <cfvo type="percent" val="0"/>
        <cfvo type="formula" val="$H$5"/>
        <cfvo type="formula" val="$H$5" gte="0"/>
      </iconSet>
    </cfRule>
  </conditionalFormatting>
  <conditionalFormatting sqref="B6">
    <cfRule type="iconSet" priority="3">
      <iconSet iconSet="3Arrows">
        <cfvo type="percent" val="0"/>
        <cfvo type="formula" val="$H$6"/>
        <cfvo type="formula" val="$H$6" gte="0"/>
      </iconSet>
    </cfRule>
  </conditionalFormatting>
  <conditionalFormatting sqref="B7">
    <cfRule type="iconSet" priority="2">
      <iconSet iconSet="3Arrows">
        <cfvo type="percent" val="0"/>
        <cfvo type="formula" val="$H$7"/>
        <cfvo type="formula" val="$H$7" gte="0"/>
      </iconSet>
    </cfRule>
  </conditionalFormatting>
  <conditionalFormatting sqref="B8:B10">
    <cfRule type="iconSet" priority="1">
      <iconSet iconSet="3Arrows">
        <cfvo type="percent" val="0"/>
        <cfvo type="formula" val="$H$8"/>
        <cfvo type="formula" val="$H$8" gte="0"/>
      </iconSet>
    </cfRule>
  </conditionalFormatting>
  <dataValidations count="3">
    <dataValidation type="list" allowBlank="1" showInputMessage="1" showErrorMessage="1" promptTitle="Change the Symbol Here" prompt="You can change the symbol here to see an updated OI list for that symbol.. You will also need to select the default price gap between the contracts." sqref="J12" xr:uid="{00000000-0002-0000-0300-000000000000}">
      <formula1>$T$1:$T$2</formula1>
    </dataValidation>
    <dataValidation type="list" allowBlank="1" showInputMessage="1" showErrorMessage="1" prompt="Select the gap between expiry which you would like to seee. The default has been set at 100." sqref="L12" xr:uid="{00000000-0002-0000-0300-000001000000}">
      <formula1>$U$1:$U$2</formula1>
    </dataValidation>
    <dataValidation type="list" allowBlank="1" showInputMessage="1" showErrorMessage="1" promptTitle="Select the Expiry - yymmdd" prompt="Select the correct Expiry which you need to see. _x000a_These expiries will updated automatically, so you need to make sure the correct expiry is selected. _x000a_In case Thursday is a holiday, you will need to enter the correct expiry manually in Cell Y15 &gt; yymmdd." sqref="I12" xr:uid="{00000000-0002-0000-0300-000002000000}">
      <formula1>$Y$9:$Y$15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60B78B-6DC4-45A0-A90C-242729FB0D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J14:J25</xm:sqref>
        </x14:conditionalFormatting>
        <x14:conditionalFormatting xmlns:xm="http://schemas.microsoft.com/office/excel/2006/main">
          <x14:cfRule type="dataBar" id="{4D4904C7-DAD9-400F-8C7E-266F80F44A6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L14:L25</xm:sqref>
        </x14:conditionalFormatting>
        <x14:conditionalFormatting xmlns:xm="http://schemas.microsoft.com/office/excel/2006/main">
          <x14:cfRule type="iconSet" priority="11" id="{EA743AC6-AB20-4C83-9074-ED7A4B61EED0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Track Stocks + OI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TrueData</dc:creator>
  <cp:lastModifiedBy>Kapil Marwaha</cp:lastModifiedBy>
  <dcterms:created xsi:type="dcterms:W3CDTF">2016-03-09T21:27:40Z</dcterms:created>
  <dcterms:modified xsi:type="dcterms:W3CDTF">2022-10-04T09:01:26Z</dcterms:modified>
</cp:coreProperties>
</file>